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Metrics\Economic Impact Study\"/>
    </mc:Choice>
  </mc:AlternateContent>
  <bookViews>
    <workbookView xWindow="0" yWindow="0" windowWidth="28800" windowHeight="14520" tabRatio="872" firstSheet="1"/>
  </bookViews>
  <sheets>
    <sheet name="Summary Sheet" sheetId="28" r:id="rId1"/>
    <sheet name="$ per HR" sheetId="15" r:id="rId2"/>
    <sheet name="Return on Investment" sheetId="22" r:id="rId3"/>
    <sheet name="Input Values Data" sheetId="27" r:id="rId4"/>
    <sheet name="Circulation" sheetId="18" r:id="rId5"/>
    <sheet name="Programs" sheetId="8" r:id="rId6"/>
    <sheet name="Reference Database" sheetId="9" r:id="rId7"/>
    <sheet name="Digital Technology" sheetId="7" r:id="rId8"/>
    <sheet name="Operations" sheetId="12" r:id="rId9"/>
    <sheet name="Employment" sheetId="13" r:id="rId10"/>
    <sheet name="Capital" sheetId="11" r:id="rId11"/>
    <sheet name="Materials" sheetId="14" r:id="rId12"/>
  </sheets>
  <definedNames>
    <definedName name="_xlnm.Print_Area" localSheetId="1">'$ per HR'!$B$2:$G$27</definedName>
    <definedName name="_xlnm.Print_Area" localSheetId="10">Capital!$B$2:$H$23</definedName>
    <definedName name="_xlnm.Print_Area" localSheetId="4">Circulation!$B$2:$F$92</definedName>
    <definedName name="_xlnm.Print_Area" localSheetId="7">'Digital Technology'!$B$2:$E$32</definedName>
    <definedName name="_xlnm.Print_Area" localSheetId="9">Employment!$B$2:$H$24</definedName>
    <definedName name="_xlnm.Print_Area" localSheetId="3">'Input Values Data'!$A$1:$F$109</definedName>
    <definedName name="_xlnm.Print_Area" localSheetId="11">Materials!$B$2:$H$22</definedName>
    <definedName name="_xlnm.Print_Area" localSheetId="8">Operations!$B$2:$H$25</definedName>
    <definedName name="_xlnm.Print_Area" localSheetId="5">Programs!$B$2:$E$12</definedName>
    <definedName name="_xlnm.Print_Area" localSheetId="6">'Reference Database'!$B$2:$E$8</definedName>
    <definedName name="_xlnm.Print_Area" localSheetId="2">'Return on Investment'!$B$2:$E$13</definedName>
    <definedName name="_xlnm.Print_Area" localSheetId="0">'Summary Sheet'!$B$2:$F$59</definedName>
    <definedName name="_xlnm.Print_Titles" localSheetId="3">'Input Values Data'!$1:$3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5" l="1"/>
  <c r="C16" i="27" l="1"/>
  <c r="D16" i="27"/>
  <c r="E16" i="27"/>
  <c r="C17" i="27"/>
  <c r="D17" i="27"/>
  <c r="E17" i="27"/>
  <c r="D18" i="27"/>
  <c r="E18" i="27"/>
  <c r="C19" i="27"/>
  <c r="D19" i="27"/>
  <c r="E19" i="27"/>
  <c r="C21" i="27"/>
  <c r="D21" i="27"/>
  <c r="E21" i="27"/>
  <c r="D22" i="27"/>
  <c r="E22" i="27"/>
  <c r="C37" i="27"/>
  <c r="D37" i="27"/>
  <c r="E37" i="27"/>
  <c r="C42" i="27"/>
  <c r="D42" i="27"/>
  <c r="E42" i="27"/>
  <c r="C54" i="27"/>
  <c r="D54" i="27"/>
  <c r="E54" i="27"/>
  <c r="E65" i="27"/>
  <c r="E107" i="27"/>
  <c r="E108" i="27" s="1"/>
  <c r="E109" i="27" l="1"/>
  <c r="D7" i="9"/>
  <c r="C7" i="9"/>
  <c r="E7" i="9" s="1"/>
  <c r="C40" i="18" l="1"/>
  <c r="C43" i="18"/>
  <c r="C44" i="18"/>
  <c r="C52" i="18"/>
  <c r="C63" i="18"/>
  <c r="C71" i="18"/>
  <c r="C79" i="18"/>
  <c r="C13" i="18"/>
  <c r="C39" i="18"/>
  <c r="C5" i="18"/>
  <c r="D5" i="18"/>
  <c r="C6" i="18"/>
  <c r="D6" i="18"/>
  <c r="C7" i="18"/>
  <c r="D7" i="18"/>
  <c r="C11" i="18"/>
  <c r="D11" i="18"/>
  <c r="C12" i="18"/>
  <c r="D12" i="18"/>
  <c r="D13" i="18"/>
  <c r="C17" i="18"/>
  <c r="D17" i="18"/>
  <c r="C21" i="18"/>
  <c r="D21" i="18"/>
  <c r="C25" i="18"/>
  <c r="D25" i="18"/>
  <c r="C29" i="18"/>
  <c r="D29" i="18"/>
  <c r="C33" i="18"/>
  <c r="D33" i="18"/>
  <c r="C34" i="18"/>
  <c r="D34" i="18"/>
  <c r="C38" i="18"/>
  <c r="D38" i="18"/>
  <c r="D39" i="18"/>
  <c r="D40" i="18"/>
  <c r="C41" i="18"/>
  <c r="D41" i="18"/>
  <c r="C42" i="18"/>
  <c r="D42" i="18"/>
  <c r="D43" i="18"/>
  <c r="D44" i="18"/>
  <c r="D53" i="18"/>
  <c r="F53" i="18"/>
  <c r="D54" i="18"/>
  <c r="F54" i="18"/>
  <c r="D55" i="18"/>
  <c r="F55" i="18"/>
  <c r="D63" i="18"/>
  <c r="D71" i="18"/>
  <c r="D79" i="18"/>
  <c r="E13" i="18" l="1"/>
  <c r="E71" i="18"/>
  <c r="C64" i="18"/>
  <c r="C89" i="18" s="1"/>
  <c r="E63" i="18"/>
  <c r="E64" i="18" s="1"/>
  <c r="E12" i="18"/>
  <c r="E11" i="18"/>
  <c r="E5" i="18"/>
  <c r="E29" i="18"/>
  <c r="E43" i="18"/>
  <c r="E34" i="18"/>
  <c r="E7" i="18"/>
  <c r="E17" i="18"/>
  <c r="E6" i="18"/>
  <c r="E42" i="18"/>
  <c r="E21" i="18"/>
  <c r="E41" i="18"/>
  <c r="E33" i="18"/>
  <c r="E44" i="18"/>
  <c r="E38" i="18"/>
  <c r="E25" i="18"/>
  <c r="E39" i="18"/>
  <c r="E40" i="18"/>
  <c r="C22" i="18"/>
  <c r="C30" i="18"/>
  <c r="F56" i="18"/>
  <c r="E79" i="18"/>
  <c r="E91" i="18" s="1"/>
  <c r="C72" i="18"/>
  <c r="C90" i="18" s="1"/>
  <c r="C80" i="18"/>
  <c r="C91" i="18" s="1"/>
  <c r="C14" i="18"/>
  <c r="C55" i="18"/>
  <c r="E55" i="18" s="1"/>
  <c r="C54" i="18"/>
  <c r="E54" i="18" s="1"/>
  <c r="C26" i="18"/>
  <c r="C18" i="18"/>
  <c r="C35" i="18"/>
  <c r="C45" i="18"/>
  <c r="C8" i="18"/>
  <c r="C53" i="18"/>
  <c r="E53" i="18" s="1"/>
  <c r="E13" i="15" l="1"/>
  <c r="E89" i="18"/>
  <c r="E30" i="18"/>
  <c r="E10" i="15" s="1"/>
  <c r="C56" i="18"/>
  <c r="C88" i="18" s="1"/>
  <c r="E72" i="18"/>
  <c r="E22" i="18"/>
  <c r="E8" i="15" s="1"/>
  <c r="E80" i="18"/>
  <c r="E18" i="18"/>
  <c r="E7" i="15" s="1"/>
  <c r="C87" i="18"/>
  <c r="E26" i="18"/>
  <c r="E9" i="15" s="1"/>
  <c r="E14" i="15" l="1"/>
  <c r="E90" i="18"/>
  <c r="E15" i="15"/>
  <c r="E8" i="18"/>
  <c r="E14" i="18"/>
  <c r="E6" i="15" s="1"/>
  <c r="E35" i="18"/>
  <c r="E11" i="15" s="1"/>
  <c r="E45" i="18"/>
  <c r="C92" i="18"/>
  <c r="E56" i="18"/>
  <c r="E12" i="15" l="1"/>
  <c r="E88" i="18"/>
  <c r="E5" i="15"/>
  <c r="E87" i="18"/>
  <c r="C5" i="14"/>
  <c r="C6" i="14"/>
  <c r="C7" i="14"/>
  <c r="C5" i="13"/>
  <c r="C6" i="13"/>
  <c r="C5" i="12"/>
  <c r="C6" i="12"/>
  <c r="C7" i="12"/>
  <c r="D22" i="7"/>
  <c r="D11" i="7"/>
  <c r="D12" i="7"/>
  <c r="D13" i="7"/>
  <c r="D14" i="7"/>
  <c r="D15" i="7"/>
  <c r="D16" i="7"/>
  <c r="D17" i="7"/>
  <c r="D18" i="7"/>
  <c r="D5" i="7"/>
  <c r="D6" i="7"/>
  <c r="D7" i="7"/>
  <c r="C22" i="7"/>
  <c r="C11" i="7"/>
  <c r="C12" i="7"/>
  <c r="C13" i="7"/>
  <c r="C14" i="7"/>
  <c r="C15" i="7"/>
  <c r="C16" i="7"/>
  <c r="C17" i="7"/>
  <c r="C18" i="7"/>
  <c r="C5" i="7"/>
  <c r="C6" i="7"/>
  <c r="C7" i="7"/>
  <c r="D5" i="9"/>
  <c r="D6" i="9"/>
  <c r="C5" i="9"/>
  <c r="C6" i="9"/>
  <c r="D5" i="8"/>
  <c r="D6" i="8"/>
  <c r="D7" i="8"/>
  <c r="D8" i="8"/>
  <c r="D9" i="8"/>
  <c r="D10" i="8"/>
  <c r="C5" i="8"/>
  <c r="C6" i="8"/>
  <c r="C7" i="8"/>
  <c r="C8" i="8"/>
  <c r="C9" i="8"/>
  <c r="C10" i="8"/>
  <c r="E92" i="18" l="1"/>
  <c r="C8" i="9"/>
  <c r="C11" i="8"/>
  <c r="B17" i="15" l="1"/>
  <c r="B18" i="15"/>
  <c r="B16" i="15"/>
  <c r="C16" i="15"/>
  <c r="B15" i="15"/>
  <c r="B14" i="15"/>
  <c r="B13" i="15"/>
  <c r="B12" i="15"/>
  <c r="B11" i="15"/>
  <c r="B10" i="15"/>
  <c r="B9" i="15"/>
  <c r="B8" i="15"/>
  <c r="B7" i="15"/>
  <c r="B6" i="15"/>
  <c r="B5" i="15"/>
  <c r="C8" i="14"/>
  <c r="D7" i="14" s="1"/>
  <c r="E7" i="14"/>
  <c r="G7" i="14" s="1"/>
  <c r="E6" i="14"/>
  <c r="G6" i="14" s="1"/>
  <c r="E5" i="14"/>
  <c r="H5" i="14" s="1"/>
  <c r="E8" i="14" l="1"/>
  <c r="E12" i="14"/>
  <c r="D5" i="14"/>
  <c r="D6" i="14"/>
  <c r="F5" i="14"/>
  <c r="F7" i="14"/>
  <c r="H7" i="14" s="1"/>
  <c r="G5" i="14"/>
  <c r="G12" i="14" s="1"/>
  <c r="F6" i="14"/>
  <c r="H6" i="14" s="1"/>
  <c r="H8" i="14" s="1"/>
  <c r="H12" i="14" l="1"/>
  <c r="D8" i="14"/>
  <c r="G8" i="14"/>
  <c r="F8" i="14"/>
  <c r="F12" i="14"/>
  <c r="C7" i="13" l="1"/>
  <c r="E6" i="13"/>
  <c r="E5" i="13"/>
  <c r="C8" i="12"/>
  <c r="D6" i="12" s="1"/>
  <c r="E7" i="12"/>
  <c r="G7" i="12" s="1"/>
  <c r="E6" i="12"/>
  <c r="G6" i="12" s="1"/>
  <c r="E5" i="12"/>
  <c r="H5" i="12" s="1"/>
  <c r="C8" i="11"/>
  <c r="D5" i="11" s="1"/>
  <c r="E7" i="11"/>
  <c r="E6" i="11"/>
  <c r="E5" i="11"/>
  <c r="C8" i="7"/>
  <c r="E7" i="7"/>
  <c r="G5" i="11" l="1"/>
  <c r="H5" i="11"/>
  <c r="F6" i="11"/>
  <c r="H6" i="11"/>
  <c r="F7" i="11"/>
  <c r="H7" i="11"/>
  <c r="G5" i="13"/>
  <c r="H5" i="13"/>
  <c r="G6" i="13"/>
  <c r="H6" i="13"/>
  <c r="F6" i="13"/>
  <c r="E12" i="12"/>
  <c r="D6" i="11"/>
  <c r="E12" i="11"/>
  <c r="D7" i="11"/>
  <c r="D7" i="12"/>
  <c r="G7" i="11"/>
  <c r="F5" i="11"/>
  <c r="E7" i="13"/>
  <c r="E11" i="13" s="1"/>
  <c r="F5" i="13"/>
  <c r="D5" i="12"/>
  <c r="E8" i="12"/>
  <c r="F5" i="12"/>
  <c r="F7" i="12"/>
  <c r="H7" i="12" s="1"/>
  <c r="G5" i="12"/>
  <c r="F6" i="12"/>
  <c r="H6" i="12" s="1"/>
  <c r="E6" i="9"/>
  <c r="E5" i="9"/>
  <c r="E10" i="8"/>
  <c r="E9" i="8"/>
  <c r="E8" i="8"/>
  <c r="E7" i="8"/>
  <c r="E6" i="8"/>
  <c r="E5" i="8"/>
  <c r="E18" i="7"/>
  <c r="E17" i="7"/>
  <c r="E16" i="7"/>
  <c r="E15" i="7"/>
  <c r="E14" i="7"/>
  <c r="E13" i="7"/>
  <c r="E12" i="7"/>
  <c r="C23" i="7"/>
  <c r="C30" i="7" s="1"/>
  <c r="E22" i="7"/>
  <c r="C19" i="7"/>
  <c r="C31" i="7" s="1"/>
  <c r="E11" i="7"/>
  <c r="E6" i="7"/>
  <c r="E5" i="7"/>
  <c r="F12" i="11" l="1"/>
  <c r="H12" i="12"/>
  <c r="C17" i="15"/>
  <c r="H12" i="11"/>
  <c r="H8" i="11"/>
  <c r="H7" i="13"/>
  <c r="H11" i="13" s="1"/>
  <c r="H8" i="12"/>
  <c r="E8" i="9"/>
  <c r="C18" i="15"/>
  <c r="C32" i="7"/>
  <c r="D8" i="12"/>
  <c r="D8" i="11"/>
  <c r="F12" i="12"/>
  <c r="G8" i="12"/>
  <c r="G12" i="12"/>
  <c r="E8" i="7"/>
  <c r="G7" i="13"/>
  <c r="F7" i="13"/>
  <c r="F8" i="12"/>
  <c r="E11" i="8"/>
  <c r="E16" i="15" s="1"/>
  <c r="E23" i="7"/>
  <c r="E19" i="7"/>
  <c r="E31" i="7" s="1"/>
  <c r="E18" i="15" s="1"/>
  <c r="C11" i="15"/>
  <c r="C10" i="15"/>
  <c r="C9" i="15"/>
  <c r="C8" i="15"/>
  <c r="C7" i="15"/>
  <c r="C6" i="15"/>
  <c r="E30" i="7" l="1"/>
  <c r="E17" i="15" s="1"/>
  <c r="F11" i="13"/>
  <c r="G11" i="13"/>
  <c r="C14" i="15"/>
  <c r="C15" i="15"/>
  <c r="C13" i="15"/>
  <c r="C5" i="15"/>
  <c r="E32" i="7" l="1"/>
  <c r="E8" i="11" l="1"/>
  <c r="G6" i="11"/>
  <c r="G12" i="11" s="1"/>
  <c r="F8" i="11"/>
  <c r="G8" i="11" l="1"/>
  <c r="C12" i="15" l="1"/>
  <c r="E6" i="22" l="1"/>
  <c r="E5" i="22" l="1"/>
  <c r="E7" i="22" s="1"/>
  <c r="E11" i="22" s="1"/>
  <c r="E10" i="22" l="1"/>
  <c r="E19" i="15" l="1"/>
  <c r="E22" i="15" s="1"/>
</calcChain>
</file>

<file path=xl/sharedStrings.xml><?xml version="1.0" encoding="utf-8"?>
<sst xmlns="http://schemas.openxmlformats.org/spreadsheetml/2006/main" count="532" uniqueCount="216">
  <si>
    <t>Source</t>
  </si>
  <si>
    <t>Total Circulation</t>
  </si>
  <si>
    <t>Programs</t>
  </si>
  <si>
    <t>Program Attendance</t>
  </si>
  <si>
    <t>Total</t>
  </si>
  <si>
    <t>Museum Passes</t>
  </si>
  <si>
    <t>Indirect Tangible Benefits</t>
  </si>
  <si>
    <t>Total Indirect Tangible Benefits</t>
  </si>
  <si>
    <t>Total Direct Tangible Benefits</t>
  </si>
  <si>
    <t>Circulation of Library Materials</t>
  </si>
  <si>
    <t>Books</t>
  </si>
  <si>
    <t>Adult</t>
  </si>
  <si>
    <t>Teen</t>
  </si>
  <si>
    <t>Children</t>
  </si>
  <si>
    <t>Audio Books</t>
  </si>
  <si>
    <t>Periodicals</t>
  </si>
  <si>
    <t>All</t>
  </si>
  <si>
    <t>CDs</t>
  </si>
  <si>
    <t>DVDs</t>
  </si>
  <si>
    <t>Video Games</t>
  </si>
  <si>
    <t>Adult &amp; Teen</t>
  </si>
  <si>
    <t>eBooks</t>
  </si>
  <si>
    <t>eMagazines</t>
  </si>
  <si>
    <t>Online Learning Subscriptions</t>
  </si>
  <si>
    <t>Circulation</t>
  </si>
  <si>
    <t>Retail Value</t>
  </si>
  <si>
    <t>In-Library Use of Materials</t>
  </si>
  <si>
    <t>Usage Annualized</t>
  </si>
  <si>
    <t>Total In-library Usage</t>
  </si>
  <si>
    <t>% Allocation</t>
  </si>
  <si>
    <t># Delivered</t>
  </si>
  <si>
    <t>Travel Cost</t>
  </si>
  <si>
    <t>VLS Deliveries</t>
  </si>
  <si>
    <t># Distributed</t>
  </si>
  <si>
    <t>All Circulation</t>
  </si>
  <si>
    <t>In-Library Materials Total</t>
  </si>
  <si>
    <t>Museum Passes Total</t>
  </si>
  <si>
    <t>Total All Circulation</t>
  </si>
  <si>
    <t>Makerspace</t>
  </si>
  <si>
    <t>Workstations</t>
  </si>
  <si>
    <t>Sessions</t>
  </si>
  <si>
    <t>WiFi</t>
  </si>
  <si>
    <t>3D Printing</t>
  </si>
  <si>
    <t>Video Conversion</t>
  </si>
  <si>
    <t>Music Studio &amp; Sound Recording</t>
  </si>
  <si>
    <t>Creative Suite Software</t>
  </si>
  <si>
    <t>Textiles &amp; Embroidery</t>
  </si>
  <si>
    <t>Digital Technology</t>
  </si>
  <si>
    <t>Digital Access</t>
  </si>
  <si>
    <t>All Programs</t>
  </si>
  <si>
    <t>Storytime</t>
  </si>
  <si>
    <t>Childrens</t>
  </si>
  <si>
    <t>Accessibility Social Worker</t>
  </si>
  <si>
    <t>Attendance</t>
  </si>
  <si>
    <t>Newcomer Support</t>
  </si>
  <si>
    <t>Reference &amp; Database Queries</t>
  </si>
  <si>
    <t>Queries</t>
  </si>
  <si>
    <t>Reference</t>
  </si>
  <si>
    <t>Database</t>
  </si>
  <si>
    <t>All Digital Technology</t>
  </si>
  <si>
    <t>Total All Digital Technology</t>
  </si>
  <si>
    <t>Total Digital Access</t>
  </si>
  <si>
    <t>Total Makerspace</t>
  </si>
  <si>
    <t>Total All Programs</t>
  </si>
  <si>
    <t>Substitute Value</t>
  </si>
  <si>
    <t>Free Printing</t>
  </si>
  <si>
    <t>% Share in Area</t>
  </si>
  <si>
    <t>No Muliplier</t>
  </si>
  <si>
    <t>$ Spent</t>
  </si>
  <si>
    <t>Ontario</t>
  </si>
  <si>
    <t>Canada</t>
  </si>
  <si>
    <t>International</t>
  </si>
  <si>
    <t>Total All Capital Spending</t>
  </si>
  <si>
    <t xml:space="preserve">Operations spending (spending on items other than library materials, salaries, wages and benefits) offer a benefit to the area which it serves. Contractors employ residents, contribute to the economy, pay taxes, as well as create an induced benefit to the businesses those employees frequent. Calculation of geography was done by office location of vendor. </t>
  </si>
  <si>
    <t>Low</t>
  </si>
  <si>
    <t>Mid</t>
  </si>
  <si>
    <t>High</t>
  </si>
  <si>
    <t>Total All Operations Spending</t>
  </si>
  <si>
    <t>Salaries Regular Employees</t>
  </si>
  <si>
    <t>Salaries Pages</t>
  </si>
  <si>
    <t>Annual salary costs include full time and part time wages and benefit costs. The majority of staff live within the community we serve. Wage impacts are multiplied as staff purchase goods and services within the community, providing revenue to those businesses and employees.</t>
  </si>
  <si>
    <t>Total All Employment Spending</t>
  </si>
  <si>
    <t>All Materials Expenditure</t>
  </si>
  <si>
    <t>All Capital Expenditure</t>
  </si>
  <si>
    <t>All Employment Expenditure</t>
  </si>
  <si>
    <t>All Operations Expenditure</t>
  </si>
  <si>
    <t>Total Materials Econ. Benefit</t>
  </si>
  <si>
    <t>Total All Materials</t>
  </si>
  <si>
    <t>Capital Econ. Benefit</t>
  </si>
  <si>
    <t>Employment Econ. Benefit</t>
  </si>
  <si>
    <t>Operations Econ. Benefit</t>
  </si>
  <si>
    <t>Value of an Open Hour</t>
  </si>
  <si>
    <t>Annual Library Hours Open (All Branches)</t>
  </si>
  <si>
    <t>Average Value of 1 Hour at a Branch</t>
  </si>
  <si>
    <t>Benefit</t>
  </si>
  <si>
    <t>Total Book</t>
  </si>
  <si>
    <t>Total Audio Book</t>
  </si>
  <si>
    <t>Blurays</t>
  </si>
  <si>
    <t>Total Periodical</t>
  </si>
  <si>
    <t>Total CD</t>
  </si>
  <si>
    <t>Total DVD</t>
  </si>
  <si>
    <t>Total Bluray</t>
  </si>
  <si>
    <t>Total Video Game</t>
  </si>
  <si>
    <t>Total In-Library Use</t>
  </si>
  <si>
    <t>Total Holds</t>
  </si>
  <si>
    <t>Holds Filled</t>
  </si>
  <si>
    <t>Total VLS Deliveries</t>
  </si>
  <si>
    <t>Total Museum Passes</t>
  </si>
  <si>
    <t>Total Research Queries</t>
  </si>
  <si>
    <t>eResources Circulation</t>
  </si>
  <si>
    <t>Total eResources Circulation</t>
  </si>
  <si>
    <t>* eResources have been removed from circulation because they can be accessed outside the branch.</t>
  </si>
  <si>
    <t>Direct Tangible Benefit</t>
  </si>
  <si>
    <t>Indirect Tangible Benefit</t>
  </si>
  <si>
    <t>Return on Investment</t>
  </si>
  <si>
    <t>Volume</t>
  </si>
  <si>
    <t>Collection Use</t>
  </si>
  <si>
    <t>Direct Economic Benefit Created</t>
  </si>
  <si>
    <t>Research Queries</t>
  </si>
  <si>
    <t>Library Operations Expenditure</t>
  </si>
  <si>
    <t>Library Employment Expenditure</t>
  </si>
  <si>
    <t>Library Capital Expenditure</t>
  </si>
  <si>
    <t>Library Materials Expenditure</t>
  </si>
  <si>
    <t>Total Economic Benefits</t>
  </si>
  <si>
    <t>[Direct + Indirect]</t>
  </si>
  <si>
    <t>Total Benefit</t>
  </si>
  <si>
    <t>Benefit per Citizen</t>
  </si>
  <si>
    <t>Benefit per Household</t>
  </si>
  <si>
    <t>Benefit per Cardholder</t>
  </si>
  <si>
    <t xml:space="preserve">Makerspace </t>
  </si>
  <si>
    <t>Other Material</t>
  </si>
  <si>
    <t>In-Library Use of Material</t>
  </si>
  <si>
    <t>Video Game - Children</t>
  </si>
  <si>
    <t>Video Game - Adult &amp; Teen</t>
  </si>
  <si>
    <t>Audio Books - Children</t>
  </si>
  <si>
    <t>Audio Books - Adult</t>
  </si>
  <si>
    <t>Books - Children</t>
  </si>
  <si>
    <t>Books - Teen</t>
  </si>
  <si>
    <t>Books - Adult</t>
  </si>
  <si>
    <t>Source Notes</t>
  </si>
  <si>
    <t>Value</t>
  </si>
  <si>
    <t>Materials Expenditure</t>
  </si>
  <si>
    <t>Capital Expenditure</t>
  </si>
  <si>
    <t>Employment Expenditure</t>
  </si>
  <si>
    <t>Operations Expenditure</t>
  </si>
  <si>
    <t>Children % share of Usage</t>
  </si>
  <si>
    <t>Teen % share of Usage</t>
  </si>
  <si>
    <t>Adult % share of Usage</t>
  </si>
  <si>
    <t>In-Library Materials Use</t>
  </si>
  <si>
    <t>eAudiobook</t>
  </si>
  <si>
    <t>Music Streaming</t>
  </si>
  <si>
    <t>Music Downloads</t>
  </si>
  <si>
    <t>Video Streaming</t>
  </si>
  <si>
    <t>Accessible Materials</t>
  </si>
  <si>
    <t>Small Tim Horton's coffee</t>
  </si>
  <si>
    <t>Printing</t>
  </si>
  <si>
    <t>Terryberry</t>
  </si>
  <si>
    <t>Redhill</t>
  </si>
  <si>
    <t>Bookings calendar from April 2016 to end of December 2016</t>
  </si>
  <si>
    <t>Internal ILS</t>
  </si>
  <si>
    <t>Online service provider reporting</t>
  </si>
  <si>
    <t>Quarterly materials use survey</t>
  </si>
  <si>
    <t>Internal Reporting</t>
  </si>
  <si>
    <t>Service Providers Reporting</t>
  </si>
  <si>
    <t>Average of popular titles in 2016 price on Indigo.ca</t>
  </si>
  <si>
    <t>Average of popular titles in 2016 price on Bestbuy.ca</t>
  </si>
  <si>
    <t>Printing rates local per page, also HPL's printing rate</t>
  </si>
  <si>
    <t>Citizen, HH &amp; Cardholder</t>
  </si>
  <si>
    <t>Bus Ticket</t>
  </si>
  <si>
    <t>Average of All Passes</t>
  </si>
  <si>
    <t>Avg. Hourly Counselling Rate</t>
  </si>
  <si>
    <t>Private hourly rate for English instruction at local colleges</t>
  </si>
  <si>
    <t>Weekly cost of similar programs pay-per visit</t>
  </si>
  <si>
    <t>Average of similar services</t>
  </si>
  <si>
    <t>Average of Co-Working spaces in Hamilton per day</t>
  </si>
  <si>
    <t>Based on 5 year replacement</t>
  </si>
  <si>
    <t>Average of all Makerspace Services</t>
  </si>
  <si>
    <t>Bus Service</t>
  </si>
  <si>
    <t>ROI $ Value</t>
  </si>
  <si>
    <t>*using Low Estimate</t>
  </si>
  <si>
    <t>Total Return of Investment</t>
  </si>
  <si>
    <t>ROI</t>
  </si>
  <si>
    <t>Mixed</t>
  </si>
  <si>
    <t>Accessible Materials/Daisy</t>
  </si>
  <si>
    <t>WiFi GB rate</t>
  </si>
  <si>
    <t>Price local plans per GB pre-tax</t>
  </si>
  <si>
    <t>Hourly Rate of Creative Suite Software</t>
  </si>
  <si>
    <t>Average local price of 16x20 englargement</t>
  </si>
  <si>
    <t>Average local price of 1 video conversion</t>
  </si>
  <si>
    <t>Average per hour local printing session</t>
  </si>
  <si>
    <t>Local History and Archives</t>
  </si>
  <si>
    <t>WiFi Per GB</t>
  </si>
  <si>
    <t>WiFi per GB</t>
  </si>
  <si>
    <t>WiFi GB</t>
  </si>
  <si>
    <t>Recorded at Service Point</t>
  </si>
  <si>
    <t>*50 weeks calculated, adjusted for stat holidays and is a library reporting standard</t>
  </si>
  <si>
    <t>Average of popular magazines</t>
  </si>
  <si>
    <t>Peoplesoft Financial System</t>
  </si>
  <si>
    <t>Peoplesoft Financial System, using 3yr average for calculations</t>
  </si>
  <si>
    <t>Calc. using avg. data per session from 2 month avg. 09 to 10/2017</t>
  </si>
  <si>
    <t>No Multiplier</t>
  </si>
  <si>
    <t>No Multiplier are actual totals. Low scenario is a 1.4x multiplier on Ontario expenses and no multipliers on national or international spending. Mid scenario is a  2x multiplier on Ontario spending, 1.4x on Rest of Canada, and no multiplier on international spending. High scenario is a 2x multiple for spending in Ontario, 1.4x multiple on Canadian spending and 1x on International spending.</t>
  </si>
  <si>
    <t>Low is a 1.4x, Mid 2x and High 3x multiplier</t>
  </si>
  <si>
    <t>Material Expenditure are expenses related to collections</t>
  </si>
  <si>
    <t>Capital spending includes lifecycle, retrofits and renovations of facilities, fleet, and technology. Calculated on a 3 year average 2014-2016 years</t>
  </si>
  <si>
    <t>Municipal Contribution</t>
  </si>
  <si>
    <t>Summary of Values for Calculation</t>
  </si>
  <si>
    <t>Hamilton Public Library Annual Results</t>
  </si>
  <si>
    <t>Comparable Market Value of Goods, Services or Space</t>
  </si>
  <si>
    <t>Economic Benefit</t>
  </si>
  <si>
    <t>Economic Benefit by Group</t>
  </si>
  <si>
    <t>Economic Benefit (40% discount)</t>
  </si>
  <si>
    <t>The Mid Scenario was used for all Indirect Benefits.</t>
  </si>
  <si>
    <t>Proportions based on circulation of all materials.</t>
  </si>
  <si>
    <t>Return on Investment of Hamilton Public Library</t>
  </si>
  <si>
    <t>Average price per title based on subscription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</si>
</sst>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 #,##0_-;_-* &quot;-&quot;_-;_-@_-"/>
    <numFmt numFmtId="165" formatCode="_(* #,##0_);_(* \(#,##0\);_(* &quot;-&quot;??_);_(@_)"/>
    <numFmt numFmtId="166" formatCode="_(&quot;$&quot;* #,##0_);_(&quot;$&quot;* \(#,##0\);_(&quot;$&quot;* &quot;-&quot;??_);_(@_)"/>
  </numFmts>
  <fonts count="21" x14ac:knownFonts="1">
    <font>
      <sz val="11"/>
      <color theme="1"/>
      <name val="Calibri Light"/>
      <family val="2"/>
      <scheme val="minor"/>
    </font>
    <font>
      <sz val="12"/>
      <color theme="1"/>
      <name val="Calibri Light"/>
      <family val="2"/>
      <scheme val="minor"/>
    </font>
    <font>
      <sz val="11"/>
      <color theme="1"/>
      <name val="Calibri Light"/>
      <family val="2"/>
      <scheme val="minor"/>
    </font>
    <font>
      <b/>
      <sz val="11"/>
      <color theme="1"/>
      <name val="Calibri Light"/>
      <family val="2"/>
      <scheme val="minor"/>
    </font>
    <font>
      <sz val="12"/>
      <color theme="1"/>
      <name val="Arial"/>
      <family val="2"/>
    </font>
    <font>
      <sz val="10"/>
      <name val="Arial"/>
      <family val="2"/>
    </font>
    <font>
      <sz val="12"/>
      <color theme="0"/>
      <name val="Calibri"/>
      <family val="2"/>
    </font>
    <font>
      <b/>
      <sz val="15"/>
      <color theme="3"/>
      <name val="Calibri Light"/>
      <family val="2"/>
      <scheme val="minor"/>
    </font>
    <font>
      <b/>
      <sz val="11"/>
      <color theme="0"/>
      <name val="Calibri Light"/>
      <family val="2"/>
      <scheme val="minor"/>
    </font>
    <font>
      <sz val="11"/>
      <color theme="0"/>
      <name val="Calibri Light"/>
      <family val="2"/>
      <scheme val="minor"/>
    </font>
    <font>
      <sz val="10"/>
      <color theme="1"/>
      <name val="Arial"/>
      <family val="2"/>
    </font>
    <font>
      <b/>
      <sz val="12"/>
      <color theme="0"/>
      <name val="Calibri"/>
      <family val="2"/>
    </font>
    <font>
      <sz val="14"/>
      <color theme="0"/>
      <name val="Brandon Grotesque Light"/>
      <family val="2"/>
      <scheme val="major"/>
    </font>
    <font>
      <sz val="20"/>
      <color theme="0"/>
      <name val="Brandon Grotesque Light"/>
      <family val="2"/>
      <scheme val="major"/>
    </font>
    <font>
      <sz val="12"/>
      <color theme="0"/>
      <name val="Calibri Light"/>
      <family val="2"/>
      <scheme val="minor"/>
    </font>
    <font>
      <sz val="12"/>
      <name val="Calibri Light"/>
      <family val="2"/>
      <scheme val="minor"/>
    </font>
    <font>
      <sz val="10"/>
      <color theme="1"/>
      <name val="Calibri Light"/>
      <family val="2"/>
      <scheme val="minor"/>
    </font>
    <font>
      <sz val="14"/>
      <color theme="0"/>
      <name val="Calibri Light"/>
      <family val="2"/>
      <scheme val="minor"/>
    </font>
    <font>
      <sz val="14"/>
      <color theme="1"/>
      <name val="Calibri Light"/>
      <family val="2"/>
      <scheme val="minor"/>
    </font>
    <font>
      <sz val="18"/>
      <color theme="1"/>
      <name val="Calibri Light"/>
      <family val="2"/>
      <scheme val="minor"/>
    </font>
    <font>
      <sz val="9"/>
      <color theme="1"/>
      <name val="Calibri Light"/>
      <family val="2"/>
      <scheme val="minor"/>
    </font>
  </fonts>
  <fills count="1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rgb="FF002060"/>
        <bgColor indexed="64"/>
      </patternFill>
    </fill>
    <fill>
      <patternFill patternType="solid">
        <fgColor theme="4"/>
      </patternFill>
    </fill>
    <fill>
      <patternFill patternType="solid">
        <fgColor theme="5"/>
      </patternFill>
    </fill>
    <fill>
      <patternFill patternType="solid">
        <fgColor theme="7"/>
        <bgColor indexed="64"/>
      </patternFill>
    </fill>
    <fill>
      <patternFill patternType="solid">
        <fgColor theme="7"/>
      </patternFill>
    </fill>
    <fill>
      <patternFill patternType="solid">
        <fgColor theme="4" tint="-0.249977111117893"/>
        <bgColor indexed="64"/>
      </patternFill>
    </fill>
    <fill>
      <patternFill patternType="solid">
        <fgColor theme="6"/>
        <bgColor indexed="64"/>
      </patternFill>
    </fill>
    <fill>
      <patternFill patternType="solid">
        <fgColor theme="5" tint="0.79998168889431442"/>
        <bgColor indexed="64"/>
      </patternFill>
    </fill>
    <fill>
      <patternFill patternType="solid">
        <fgColor theme="6" tint="0.59999389629810485"/>
        <bgColor indexed="64"/>
      </patternFill>
    </fill>
  </fills>
  <borders count="15">
    <border>
      <left/>
      <right/>
      <top/>
      <bottom/>
      <diagonal/>
    </border>
    <border>
      <left/>
      <right/>
      <top/>
      <bottom style="thin">
        <color theme="7"/>
      </bottom>
      <diagonal/>
    </border>
    <border>
      <left/>
      <right/>
      <top/>
      <bottom style="thick">
        <color indexed="64"/>
      </bottom>
      <diagonal/>
    </border>
    <border>
      <left/>
      <right/>
      <top/>
      <bottom style="thick">
        <color theme="4"/>
      </bottom>
      <diagonal/>
    </border>
    <border>
      <left/>
      <right/>
      <top style="thin">
        <color theme="4"/>
      </top>
      <bottom style="double">
        <color theme="4"/>
      </bottom>
      <diagonal/>
    </border>
    <border>
      <left/>
      <right/>
      <top/>
      <bottom style="thick">
        <color theme="7"/>
      </bottom>
      <diagonal/>
    </border>
    <border>
      <left/>
      <right/>
      <top style="thin">
        <color theme="7"/>
      </top>
      <bottom style="double">
        <color theme="7"/>
      </bottom>
      <diagonal/>
    </border>
    <border>
      <left/>
      <right/>
      <top/>
      <bottom style="double">
        <color theme="7"/>
      </bottom>
      <diagonal/>
    </border>
    <border>
      <left/>
      <right/>
      <top/>
      <bottom style="thick">
        <color theme="8" tint="-0.499984740745262"/>
      </bottom>
      <diagonal/>
    </border>
    <border>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theme="7"/>
      </bottom>
      <diagonal/>
    </border>
    <border>
      <left style="medium">
        <color indexed="64"/>
      </left>
      <right style="medium">
        <color indexed="64"/>
      </right>
      <top/>
      <bottom style="double">
        <color theme="7"/>
      </bottom>
      <diagonal/>
    </border>
    <border>
      <left style="medium">
        <color indexed="64"/>
      </left>
      <right style="medium">
        <color indexed="64"/>
      </right>
      <top/>
      <bottom style="medium">
        <color indexed="64"/>
      </bottom>
      <diagonal/>
    </border>
  </borders>
  <cellStyleXfs count="15">
    <xf numFmtId="0" fontId="0"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9" fontId="2" fillId="0" borderId="0" applyFont="0" applyFill="0" applyBorder="0" applyAlignment="0" applyProtection="0"/>
    <xf numFmtId="0" fontId="7" fillId="0" borderId="3" applyNumberFormat="0" applyFill="0" applyAlignment="0" applyProtection="0"/>
    <xf numFmtId="0" fontId="3" fillId="0" borderId="4" applyNumberFormat="0" applyFill="0" applyAlignment="0" applyProtection="0"/>
    <xf numFmtId="0" fontId="9" fillId="7"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cellStyleXfs>
  <cellXfs count="201">
    <xf numFmtId="0" fontId="0" fillId="0" borderId="0" xfId="0"/>
    <xf numFmtId="0" fontId="0" fillId="0" borderId="0" xfId="0" applyFont="1" applyAlignment="1">
      <alignment vertical="center"/>
    </xf>
    <xf numFmtId="0" fontId="6" fillId="6" borderId="0" xfId="0" applyFont="1" applyFill="1" applyAlignment="1">
      <alignment horizontal="center" vertical="center"/>
    </xf>
    <xf numFmtId="0" fontId="6" fillId="4" borderId="0" xfId="0" applyFont="1" applyFill="1" applyAlignment="1">
      <alignment horizontal="left" vertical="center"/>
    </xf>
    <xf numFmtId="0" fontId="0" fillId="0" borderId="0" xfId="0" applyAlignment="1">
      <alignment vertical="center"/>
    </xf>
    <xf numFmtId="0" fontId="0" fillId="0" borderId="0" xfId="0" applyAlignment="1">
      <alignment horizontal="center" vertical="center" wrapText="1"/>
    </xf>
    <xf numFmtId="165" fontId="0" fillId="0" borderId="0" xfId="1" applyNumberFormat="1" applyFont="1" applyAlignment="1">
      <alignment vertical="center"/>
    </xf>
    <xf numFmtId="44" fontId="0" fillId="0" borderId="0" xfId="2" applyFont="1" applyAlignment="1">
      <alignment vertical="center"/>
    </xf>
    <xf numFmtId="0" fontId="3" fillId="0" borderId="4" xfId="7" applyAlignment="1">
      <alignment vertical="center"/>
    </xf>
    <xf numFmtId="165" fontId="3" fillId="0" borderId="4" xfId="7" applyNumberFormat="1" applyAlignment="1">
      <alignment vertical="center"/>
    </xf>
    <xf numFmtId="44" fontId="3" fillId="0" borderId="4" xfId="7" applyNumberFormat="1" applyAlignment="1">
      <alignment vertical="center"/>
    </xf>
    <xf numFmtId="0" fontId="8" fillId="7" borderId="0" xfId="8" applyFont="1" applyAlignment="1">
      <alignment vertical="center" wrapText="1"/>
    </xf>
    <xf numFmtId="0" fontId="8" fillId="7" borderId="0" xfId="8" applyFont="1" applyAlignment="1">
      <alignment horizontal="center" vertical="center" wrapText="1"/>
    </xf>
    <xf numFmtId="0" fontId="7" fillId="0" borderId="3" xfId="6" applyAlignment="1">
      <alignment vertical="center"/>
    </xf>
    <xf numFmtId="0" fontId="9" fillId="8" borderId="0" xfId="9" applyAlignment="1">
      <alignment vertical="center"/>
    </xf>
    <xf numFmtId="165" fontId="7" fillId="0" borderId="3" xfId="6" applyNumberFormat="1" applyAlignment="1">
      <alignment vertical="center"/>
    </xf>
    <xf numFmtId="44" fontId="7" fillId="0" borderId="3" xfId="6" applyNumberFormat="1" applyAlignment="1">
      <alignment vertical="center"/>
    </xf>
    <xf numFmtId="165" fontId="9" fillId="8" borderId="0" xfId="9" applyNumberFormat="1" applyAlignment="1">
      <alignment vertical="center"/>
    </xf>
    <xf numFmtId="44" fontId="9" fillId="8" borderId="0" xfId="9" applyNumberFormat="1" applyAlignment="1">
      <alignment vertical="center"/>
    </xf>
    <xf numFmtId="9" fontId="0" fillId="0" borderId="0" xfId="5" applyFont="1" applyAlignment="1">
      <alignment vertical="center"/>
    </xf>
    <xf numFmtId="9" fontId="3" fillId="0" borderId="4" xfId="5" applyFont="1" applyBorder="1" applyAlignment="1">
      <alignment vertical="center"/>
    </xf>
    <xf numFmtId="9" fontId="0" fillId="2" borderId="0" xfId="5" applyFont="1" applyFill="1" applyAlignment="1">
      <alignment vertical="center"/>
    </xf>
    <xf numFmtId="165" fontId="0" fillId="2" borderId="0" xfId="1" applyNumberFormat="1" applyFont="1" applyFill="1" applyAlignment="1">
      <alignment vertical="center"/>
    </xf>
    <xf numFmtId="44" fontId="0" fillId="2" borderId="0" xfId="2" applyFont="1" applyFill="1" applyAlignment="1">
      <alignment vertical="center"/>
    </xf>
    <xf numFmtId="0" fontId="7" fillId="0" borderId="5" xfId="6" applyBorder="1" applyAlignment="1">
      <alignment vertical="center"/>
    </xf>
    <xf numFmtId="165" fontId="7" fillId="0" borderId="5" xfId="6" applyNumberFormat="1" applyBorder="1" applyAlignment="1">
      <alignment vertical="center"/>
    </xf>
    <xf numFmtId="44" fontId="7" fillId="0" borderId="5" xfId="6" applyNumberFormat="1" applyBorder="1" applyAlignment="1">
      <alignment vertical="center"/>
    </xf>
    <xf numFmtId="0" fontId="0" fillId="9" borderId="0" xfId="0" applyFill="1" applyAlignment="1">
      <alignment vertical="center"/>
    </xf>
    <xf numFmtId="165" fontId="0" fillId="9" borderId="0" xfId="1" applyNumberFormat="1" applyFont="1" applyFill="1" applyAlignment="1">
      <alignment vertical="center"/>
    </xf>
    <xf numFmtId="44" fontId="0" fillId="9" borderId="0" xfId="2" applyFont="1" applyFill="1" applyAlignment="1">
      <alignment vertical="center"/>
    </xf>
    <xf numFmtId="0" fontId="8" fillId="9" borderId="0" xfId="8" applyFont="1" applyFill="1" applyAlignment="1">
      <alignment horizontal="center" vertical="center" wrapText="1"/>
    </xf>
    <xf numFmtId="0" fontId="8" fillId="9" borderId="0" xfId="8" applyFont="1" applyFill="1" applyAlignment="1">
      <alignment vertical="center" wrapText="1"/>
    </xf>
    <xf numFmtId="44" fontId="0" fillId="0" borderId="0" xfId="2" applyFont="1" applyFill="1" applyAlignment="1">
      <alignment vertical="center"/>
    </xf>
    <xf numFmtId="0" fontId="4" fillId="0" borderId="0" xfId="11" applyFont="1" applyAlignment="1">
      <alignment vertical="center" wrapText="1"/>
    </xf>
    <xf numFmtId="0" fontId="9" fillId="10" borderId="0" xfId="10" applyAlignment="1">
      <alignment vertical="center" wrapText="1"/>
    </xf>
    <xf numFmtId="0" fontId="9" fillId="10" borderId="0" xfId="10" applyAlignment="1">
      <alignment horizontal="center" vertical="center" wrapText="1"/>
    </xf>
    <xf numFmtId="0" fontId="8" fillId="5" borderId="0" xfId="0" applyFont="1" applyFill="1" applyAlignment="1">
      <alignment vertical="center"/>
    </xf>
    <xf numFmtId="165" fontId="8" fillId="5" borderId="0" xfId="1" applyNumberFormat="1" applyFont="1" applyFill="1" applyAlignment="1">
      <alignment vertical="center"/>
    </xf>
    <xf numFmtId="44" fontId="8" fillId="5" borderId="0" xfId="2" applyFont="1" applyFill="1" applyAlignment="1">
      <alignment vertical="center"/>
    </xf>
    <xf numFmtId="0" fontId="0" fillId="0" borderId="1" xfId="0" applyBorder="1" applyAlignment="1">
      <alignment vertical="center"/>
    </xf>
    <xf numFmtId="165" fontId="0" fillId="0" borderId="1" xfId="1" applyNumberFormat="1" applyFont="1" applyBorder="1" applyAlignment="1">
      <alignment vertical="center"/>
    </xf>
    <xf numFmtId="44" fontId="0" fillId="0" borderId="1" xfId="2" applyFont="1" applyBorder="1" applyAlignment="1">
      <alignment vertical="center"/>
    </xf>
    <xf numFmtId="0" fontId="3" fillId="0" borderId="6" xfId="7" applyBorder="1" applyAlignment="1">
      <alignment vertical="center"/>
    </xf>
    <xf numFmtId="165" fontId="3" fillId="0" borderId="6" xfId="7" applyNumberFormat="1" applyBorder="1" applyAlignment="1">
      <alignment vertical="center"/>
    </xf>
    <xf numFmtId="44" fontId="3" fillId="0" borderId="6" xfId="7" applyNumberFormat="1" applyBorder="1" applyAlignment="1">
      <alignment vertical="center"/>
    </xf>
    <xf numFmtId="0" fontId="3" fillId="0" borderId="7" xfId="7" applyBorder="1" applyAlignment="1">
      <alignment vertical="center"/>
    </xf>
    <xf numFmtId="165" fontId="3" fillId="0" borderId="7" xfId="7" applyNumberFormat="1" applyBorder="1" applyAlignment="1">
      <alignment vertical="center"/>
    </xf>
    <xf numFmtId="44" fontId="3" fillId="0" borderId="7" xfId="7" applyNumberFormat="1" applyBorder="1" applyAlignment="1">
      <alignment vertical="center"/>
    </xf>
    <xf numFmtId="44" fontId="0" fillId="2" borderId="1" xfId="2" applyFont="1" applyFill="1" applyBorder="1" applyAlignment="1">
      <alignment vertical="center"/>
    </xf>
    <xf numFmtId="44" fontId="0" fillId="0" borderId="1" xfId="2" applyFont="1" applyFill="1" applyBorder="1" applyAlignment="1">
      <alignment vertical="center"/>
    </xf>
    <xf numFmtId="165" fontId="0" fillId="2" borderId="1" xfId="1" applyNumberFormat="1" applyFont="1" applyFill="1" applyBorder="1" applyAlignment="1">
      <alignment vertical="center"/>
    </xf>
    <xf numFmtId="0" fontId="6" fillId="6" borderId="0" xfId="0" applyFont="1" applyFill="1" applyAlignment="1">
      <alignment horizontal="center" vertical="center" wrapText="1"/>
    </xf>
    <xf numFmtId="0" fontId="0" fillId="0" borderId="0" xfId="0" applyFill="1"/>
    <xf numFmtId="0" fontId="6" fillId="0" borderId="0" xfId="0" applyFont="1" applyFill="1" applyAlignment="1">
      <alignment horizontal="left" vertical="center"/>
    </xf>
    <xf numFmtId="0" fontId="6" fillId="6" borderId="0" xfId="0" applyFont="1" applyFill="1" applyAlignment="1">
      <alignment horizontal="left" vertical="center" wrapText="1"/>
    </xf>
    <xf numFmtId="0" fontId="0" fillId="0" borderId="0" xfId="0" applyFill="1" applyAlignment="1">
      <alignment wrapText="1"/>
    </xf>
    <xf numFmtId="0" fontId="6" fillId="0" borderId="0" xfId="0" applyFont="1" applyFill="1" applyAlignment="1">
      <alignment horizontal="center" vertical="center" wrapText="1"/>
    </xf>
    <xf numFmtId="165" fontId="6" fillId="4" borderId="0" xfId="1" applyNumberFormat="1" applyFont="1" applyFill="1" applyAlignment="1">
      <alignment horizontal="left" vertical="center"/>
    </xf>
    <xf numFmtId="165" fontId="6" fillId="0" borderId="0" xfId="1" applyNumberFormat="1" applyFont="1" applyFill="1" applyAlignment="1">
      <alignment horizontal="left" vertical="center"/>
    </xf>
    <xf numFmtId="0" fontId="11" fillId="11" borderId="0" xfId="0" applyFont="1" applyFill="1" applyAlignment="1">
      <alignment horizontal="left" vertical="center"/>
    </xf>
    <xf numFmtId="165" fontId="11" fillId="11" borderId="0" xfId="1" applyNumberFormat="1" applyFont="1" applyFill="1" applyAlignment="1">
      <alignment horizontal="left" vertical="center"/>
    </xf>
    <xf numFmtId="0" fontId="7" fillId="0" borderId="8" xfId="6" applyBorder="1" applyAlignment="1">
      <alignment vertical="center"/>
    </xf>
    <xf numFmtId="165" fontId="7" fillId="0" borderId="8" xfId="6" applyNumberFormat="1" applyBorder="1" applyAlignment="1">
      <alignment vertical="center"/>
    </xf>
    <xf numFmtId="44" fontId="7" fillId="0" borderId="8" xfId="6" applyNumberFormat="1" applyBorder="1" applyAlignment="1">
      <alignment vertical="center"/>
    </xf>
    <xf numFmtId="0" fontId="11" fillId="0" borderId="0" xfId="0" applyFont="1" applyFill="1" applyAlignment="1">
      <alignment horizontal="left" vertical="center"/>
    </xf>
    <xf numFmtId="165" fontId="11" fillId="0" borderId="0" xfId="1" applyNumberFormat="1" applyFont="1" applyFill="1" applyAlignment="1">
      <alignment horizontal="left" vertical="center"/>
    </xf>
    <xf numFmtId="0" fontId="6" fillId="6" borderId="0" xfId="0" applyFont="1" applyFill="1" applyAlignment="1">
      <alignment horizontal="left" vertical="center"/>
    </xf>
    <xf numFmtId="0" fontId="11" fillId="12" borderId="0" xfId="0" applyFont="1" applyFill="1" applyAlignment="1">
      <alignment horizontal="center" vertical="center"/>
    </xf>
    <xf numFmtId="0" fontId="11" fillId="12" borderId="0" xfId="0" applyFont="1" applyFill="1" applyAlignment="1">
      <alignment horizontal="center" vertical="center" wrapText="1"/>
    </xf>
    <xf numFmtId="0" fontId="13" fillId="12" borderId="0" xfId="0" applyFont="1" applyFill="1" applyAlignment="1">
      <alignment horizontal="left" vertical="center"/>
    </xf>
    <xf numFmtId="0" fontId="14" fillId="5" borderId="0" xfId="0" applyFont="1" applyFill="1" applyAlignment="1">
      <alignment vertical="center"/>
    </xf>
    <xf numFmtId="0" fontId="12" fillId="12" borderId="0" xfId="0" applyFont="1" applyFill="1" applyAlignment="1">
      <alignment horizontal="center" vertical="center" wrapText="1"/>
    </xf>
    <xf numFmtId="0" fontId="8" fillId="5" borderId="0" xfId="0" applyFont="1" applyFill="1" applyAlignment="1">
      <alignment horizontal="left" vertical="center"/>
    </xf>
    <xf numFmtId="9" fontId="3" fillId="0" borderId="7" xfId="5" applyFont="1" applyBorder="1" applyAlignment="1">
      <alignment vertical="center"/>
    </xf>
    <xf numFmtId="9" fontId="0" fillId="0" borderId="0" xfId="5" applyFont="1" applyFill="1" applyAlignment="1">
      <alignment vertical="center"/>
    </xf>
    <xf numFmtId="9" fontId="0" fillId="0" borderId="1" xfId="5" applyFont="1" applyFill="1" applyBorder="1" applyAlignment="1">
      <alignment vertical="center"/>
    </xf>
    <xf numFmtId="0" fontId="15" fillId="0" borderId="0" xfId="0" applyFont="1" applyFill="1" applyBorder="1" applyAlignment="1">
      <alignment horizontal="left" vertical="center"/>
    </xf>
    <xf numFmtId="0" fontId="15" fillId="0" borderId="2" xfId="0" applyFont="1" applyFill="1" applyBorder="1" applyAlignment="1">
      <alignment horizontal="left" vertical="center"/>
    </xf>
    <xf numFmtId="0" fontId="14" fillId="0" borderId="0" xfId="0" applyFont="1" applyFill="1" applyBorder="1" applyAlignment="1">
      <alignment horizontal="left" vertical="center"/>
    </xf>
    <xf numFmtId="0" fontId="15" fillId="13" borderId="0" xfId="0" applyFont="1" applyFill="1" applyBorder="1" applyAlignment="1">
      <alignment horizontal="left" vertical="center"/>
    </xf>
    <xf numFmtId="0" fontId="14" fillId="13" borderId="0" xfId="0" applyFont="1" applyFill="1" applyBorder="1" applyAlignment="1">
      <alignment horizontal="left" vertical="center"/>
    </xf>
    <xf numFmtId="0" fontId="15" fillId="13" borderId="2" xfId="0" applyFont="1" applyFill="1" applyBorder="1" applyAlignment="1">
      <alignment horizontal="left" vertical="center"/>
    </xf>
    <xf numFmtId="0" fontId="14" fillId="13" borderId="2" xfId="0" applyFont="1" applyFill="1" applyBorder="1" applyAlignment="1">
      <alignment horizontal="left" vertical="center"/>
    </xf>
    <xf numFmtId="44" fontId="15" fillId="14" borderId="0" xfId="2" applyFont="1" applyFill="1" applyBorder="1" applyAlignment="1">
      <alignment horizontal="left" vertical="center"/>
    </xf>
    <xf numFmtId="44" fontId="15" fillId="2" borderId="0" xfId="2" applyFont="1" applyFill="1" applyBorder="1" applyAlignment="1">
      <alignment horizontal="left" vertical="center"/>
    </xf>
    <xf numFmtId="44" fontId="15" fillId="14" borderId="2" xfId="2" applyFont="1" applyFill="1" applyBorder="1" applyAlignment="1">
      <alignment horizontal="left" vertical="center"/>
    </xf>
    <xf numFmtId="44" fontId="15" fillId="2" borderId="9" xfId="2" applyFont="1" applyFill="1" applyBorder="1"/>
    <xf numFmtId="44" fontId="15" fillId="14" borderId="0" xfId="2" applyFont="1" applyFill="1" applyBorder="1"/>
    <xf numFmtId="44" fontId="15" fillId="2" borderId="2" xfId="2" applyFont="1" applyFill="1" applyBorder="1"/>
    <xf numFmtId="0" fontId="15" fillId="13" borderId="0" xfId="0" applyFont="1" applyFill="1" applyBorder="1"/>
    <xf numFmtId="0" fontId="15" fillId="0" borderId="0" xfId="0" applyFont="1" applyBorder="1"/>
    <xf numFmtId="0" fontId="15" fillId="13" borderId="2" xfId="0" applyFont="1" applyFill="1" applyBorder="1"/>
    <xf numFmtId="0" fontId="15" fillId="0" borderId="9" xfId="0" applyFont="1" applyBorder="1"/>
    <xf numFmtId="0" fontId="15" fillId="0" borderId="0" xfId="0" applyFont="1"/>
    <xf numFmtId="0" fontId="16" fillId="0" borderId="0" xfId="0" applyFont="1"/>
    <xf numFmtId="44" fontId="15" fillId="2" borderId="2" xfId="2" applyFont="1" applyFill="1" applyBorder="1" applyAlignment="1">
      <alignment horizontal="left" vertical="center"/>
    </xf>
    <xf numFmtId="0" fontId="17" fillId="6" borderId="0" xfId="0" applyFont="1" applyFill="1" applyAlignment="1">
      <alignment horizontal="left" vertical="center"/>
    </xf>
    <xf numFmtId="0" fontId="17" fillId="6" borderId="0" xfId="0" applyFont="1" applyFill="1" applyAlignment="1">
      <alignment horizontal="center" vertical="center"/>
    </xf>
    <xf numFmtId="0" fontId="18" fillId="0" borderId="0" xfId="0" applyFont="1" applyAlignment="1">
      <alignment wrapText="1"/>
    </xf>
    <xf numFmtId="0" fontId="18" fillId="0" borderId="0" xfId="0" applyFont="1"/>
    <xf numFmtId="165" fontId="15" fillId="14" borderId="0" xfId="1" applyNumberFormat="1" applyFont="1" applyFill="1" applyBorder="1" applyAlignment="1">
      <alignment horizontal="left" vertical="center"/>
    </xf>
    <xf numFmtId="165" fontId="15" fillId="2" borderId="0" xfId="1" applyNumberFormat="1" applyFont="1" applyFill="1" applyBorder="1" applyAlignment="1">
      <alignment horizontal="left" vertical="center"/>
    </xf>
    <xf numFmtId="165" fontId="15" fillId="2" borderId="9" xfId="1" applyNumberFormat="1" applyFont="1" applyFill="1" applyBorder="1"/>
    <xf numFmtId="165" fontId="15" fillId="14" borderId="0" xfId="1" applyNumberFormat="1" applyFont="1" applyFill="1" applyBorder="1"/>
    <xf numFmtId="165" fontId="15" fillId="14" borderId="2" xfId="1" applyNumberFormat="1" applyFont="1" applyFill="1" applyBorder="1"/>
    <xf numFmtId="165" fontId="15" fillId="2" borderId="2" xfId="1" applyNumberFormat="1" applyFont="1" applyFill="1" applyBorder="1"/>
    <xf numFmtId="165" fontId="15" fillId="2" borderId="2" xfId="1" applyNumberFormat="1" applyFont="1" applyFill="1" applyBorder="1" applyAlignment="1">
      <alignment horizontal="left" vertical="center"/>
    </xf>
    <xf numFmtId="165" fontId="15" fillId="0" borderId="0" xfId="1" applyNumberFormat="1" applyFont="1" applyFill="1" applyBorder="1" applyAlignment="1">
      <alignment horizontal="left" vertical="center"/>
    </xf>
    <xf numFmtId="165" fontId="15" fillId="13" borderId="0" xfId="1" applyNumberFormat="1" applyFont="1" applyFill="1" applyBorder="1" applyAlignment="1">
      <alignment horizontal="left" vertical="center"/>
    </xf>
    <xf numFmtId="165" fontId="15" fillId="0" borderId="9" xfId="1" applyNumberFormat="1" applyFont="1" applyBorder="1"/>
    <xf numFmtId="165" fontId="15" fillId="13" borderId="0" xfId="1" applyNumberFormat="1" applyFont="1" applyFill="1" applyBorder="1"/>
    <xf numFmtId="165" fontId="15" fillId="0" borderId="0" xfId="1" applyNumberFormat="1" applyFont="1" applyBorder="1"/>
    <xf numFmtId="165" fontId="15" fillId="13" borderId="2" xfId="1" applyNumberFormat="1" applyFont="1" applyFill="1" applyBorder="1"/>
    <xf numFmtId="165" fontId="15" fillId="0" borderId="2" xfId="1" applyNumberFormat="1" applyFont="1" applyBorder="1"/>
    <xf numFmtId="165" fontId="15" fillId="0" borderId="2" xfId="1" applyNumberFormat="1" applyFont="1" applyFill="1" applyBorder="1" applyAlignment="1">
      <alignment horizontal="left" vertical="center"/>
    </xf>
    <xf numFmtId="165" fontId="15" fillId="13" borderId="2" xfId="1" applyNumberFormat="1" applyFont="1" applyFill="1" applyBorder="1" applyAlignment="1">
      <alignment horizontal="left" vertical="center"/>
    </xf>
    <xf numFmtId="44" fontId="15" fillId="0" borderId="0" xfId="2" applyFont="1" applyFill="1" applyBorder="1" applyAlignment="1">
      <alignment horizontal="left" vertical="center"/>
    </xf>
    <xf numFmtId="164" fontId="15" fillId="13" borderId="0" xfId="1" applyNumberFormat="1" applyFont="1" applyFill="1" applyBorder="1"/>
    <xf numFmtId="0" fontId="1" fillId="0" borderId="0" xfId="0" applyFont="1"/>
    <xf numFmtId="0" fontId="0" fillId="0" borderId="0" xfId="0" applyAlignment="1">
      <alignment vertical="center"/>
    </xf>
    <xf numFmtId="44" fontId="15" fillId="13" borderId="0" xfId="2" applyFont="1" applyFill="1" applyBorder="1" applyAlignment="1">
      <alignment horizontal="left" vertical="center"/>
    </xf>
    <xf numFmtId="44" fontId="15" fillId="13" borderId="2" xfId="2" applyFont="1" applyFill="1" applyBorder="1" applyAlignment="1">
      <alignment horizontal="left" vertical="center"/>
    </xf>
    <xf numFmtId="44" fontId="15" fillId="0" borderId="2" xfId="2" applyFont="1" applyFill="1" applyBorder="1" applyAlignment="1">
      <alignment horizontal="left" vertical="center"/>
    </xf>
    <xf numFmtId="0" fontId="1" fillId="13" borderId="2" xfId="0" applyFont="1" applyFill="1" applyBorder="1"/>
    <xf numFmtId="0" fontId="1" fillId="13" borderId="0" xfId="0" applyFont="1" applyFill="1" applyBorder="1"/>
    <xf numFmtId="0" fontId="1" fillId="0" borderId="9" xfId="0" applyFont="1" applyBorder="1"/>
    <xf numFmtId="0" fontId="1" fillId="0" borderId="2" xfId="0" applyFont="1" applyBorder="1"/>
    <xf numFmtId="0" fontId="1" fillId="0" borderId="0" xfId="0" applyFont="1" applyBorder="1"/>
    <xf numFmtId="43" fontId="0" fillId="0" borderId="0" xfId="1" applyNumberFormat="1" applyFont="1" applyAlignment="1">
      <alignment vertical="center"/>
    </xf>
    <xf numFmtId="9" fontId="15" fillId="14" borderId="0" xfId="5" applyFont="1" applyFill="1" applyBorder="1"/>
    <xf numFmtId="9" fontId="15" fillId="2" borderId="0" xfId="5" applyFont="1" applyFill="1" applyBorder="1"/>
    <xf numFmtId="9" fontId="15" fillId="14" borderId="2" xfId="5" applyFont="1" applyFill="1" applyBorder="1"/>
    <xf numFmtId="0" fontId="0" fillId="0" borderId="0" xfId="0" applyAlignment="1">
      <alignment vertical="center"/>
    </xf>
    <xf numFmtId="9" fontId="8" fillId="5" borderId="0" xfId="5" applyFont="1" applyFill="1" applyAlignment="1">
      <alignment vertical="center"/>
    </xf>
    <xf numFmtId="44" fontId="1" fillId="0" borderId="0" xfId="2" applyFont="1"/>
    <xf numFmtId="0" fontId="1" fillId="0" borderId="2" xfId="0" applyFont="1" applyBorder="1" applyAlignment="1">
      <alignment vertical="center"/>
    </xf>
    <xf numFmtId="0" fontId="1" fillId="0" borderId="0" xfId="0" applyFont="1" applyFill="1"/>
    <xf numFmtId="0" fontId="1" fillId="0" borderId="0" xfId="0" applyFont="1" applyFill="1" applyBorder="1"/>
    <xf numFmtId="0" fontId="1" fillId="0" borderId="0" xfId="0" applyFont="1" applyFill="1" applyBorder="1" applyAlignment="1">
      <alignment horizontal="center" vertical="center" textRotation="90" wrapText="1"/>
    </xf>
    <xf numFmtId="43" fontId="1" fillId="0" borderId="0" xfId="0" applyNumberFormat="1" applyFont="1"/>
    <xf numFmtId="165" fontId="1" fillId="0" borderId="0" xfId="0" applyNumberFormat="1" applyFont="1"/>
    <xf numFmtId="166" fontId="6" fillId="4" borderId="0" xfId="2" applyNumberFormat="1" applyFont="1" applyFill="1" applyAlignment="1">
      <alignment horizontal="left" vertical="center"/>
    </xf>
    <xf numFmtId="166" fontId="11" fillId="11" borderId="0" xfId="2" applyNumberFormat="1" applyFont="1" applyFill="1" applyAlignment="1">
      <alignment horizontal="left" vertical="center"/>
    </xf>
    <xf numFmtId="166" fontId="8" fillId="5" borderId="0" xfId="0" applyNumberFormat="1" applyFont="1" applyFill="1" applyAlignment="1">
      <alignment vertical="center"/>
    </xf>
    <xf numFmtId="166" fontId="0" fillId="0" borderId="0" xfId="0" applyNumberFormat="1"/>
    <xf numFmtId="166" fontId="7" fillId="0" borderId="5" xfId="6" applyNumberFormat="1" applyBorder="1" applyAlignment="1">
      <alignment vertical="center"/>
    </xf>
    <xf numFmtId="166" fontId="0" fillId="0" borderId="0" xfId="2" applyNumberFormat="1" applyFont="1" applyAlignment="1">
      <alignment vertical="center"/>
    </xf>
    <xf numFmtId="166" fontId="9" fillId="10" borderId="0" xfId="10" applyNumberFormat="1" applyAlignment="1">
      <alignment horizontal="center" vertical="center" wrapText="1"/>
    </xf>
    <xf numFmtId="166" fontId="3" fillId="0" borderId="6" xfId="2" applyNumberFormat="1" applyFont="1" applyBorder="1" applyAlignment="1">
      <alignment vertical="center"/>
    </xf>
    <xf numFmtId="166" fontId="8" fillId="5" borderId="0" xfId="2" applyNumberFormat="1" applyFont="1" applyFill="1" applyAlignment="1">
      <alignment vertical="center"/>
    </xf>
    <xf numFmtId="9" fontId="8" fillId="5" borderId="0" xfId="5" applyFont="1" applyFill="1" applyAlignment="1">
      <alignment horizontal="center" vertical="center"/>
    </xf>
    <xf numFmtId="44" fontId="8" fillId="5" borderId="0" xfId="2" applyFont="1" applyFill="1" applyAlignment="1">
      <alignment horizontal="center" vertical="center"/>
    </xf>
    <xf numFmtId="166" fontId="6" fillId="0" borderId="0" xfId="2" applyNumberFormat="1" applyFont="1" applyFill="1" applyAlignment="1">
      <alignment horizontal="left" vertical="center"/>
    </xf>
    <xf numFmtId="166" fontId="11" fillId="0" borderId="0" xfId="2" applyNumberFormat="1" applyFont="1" applyFill="1" applyAlignment="1">
      <alignment horizontal="left" vertical="center"/>
    </xf>
    <xf numFmtId="166" fontId="7" fillId="0" borderId="8" xfId="6" applyNumberFormat="1" applyBorder="1" applyAlignment="1">
      <alignment vertical="center"/>
    </xf>
    <xf numFmtId="0" fontId="0" fillId="0" borderId="0" xfId="0" applyAlignment="1">
      <alignment wrapText="1"/>
    </xf>
    <xf numFmtId="0" fontId="15" fillId="3" borderId="0" xfId="0" applyFont="1" applyFill="1" applyBorder="1" applyAlignment="1">
      <alignment horizontal="left" vertical="center"/>
    </xf>
    <xf numFmtId="166" fontId="0" fillId="0" borderId="0" xfId="0" applyNumberFormat="1" applyAlignment="1">
      <alignment vertical="center"/>
    </xf>
    <xf numFmtId="0" fontId="0" fillId="0" borderId="0" xfId="0" applyAlignment="1">
      <alignment vertical="center"/>
    </xf>
    <xf numFmtId="165" fontId="15" fillId="14" borderId="2" xfId="1" applyNumberFormat="1" applyFont="1" applyFill="1" applyBorder="1" applyAlignment="1">
      <alignment horizontal="left" vertical="center"/>
    </xf>
    <xf numFmtId="166" fontId="7" fillId="0" borderId="3" xfId="6" applyNumberFormat="1" applyAlignment="1">
      <alignment vertical="center"/>
    </xf>
    <xf numFmtId="166" fontId="8" fillId="7" borderId="0" xfId="8" applyNumberFormat="1" applyFont="1" applyAlignment="1">
      <alignment horizontal="center" vertical="center" wrapText="1"/>
    </xf>
    <xf numFmtId="166" fontId="3" fillId="0" borderId="4" xfId="7" applyNumberFormat="1" applyAlignment="1">
      <alignment vertical="center"/>
    </xf>
    <xf numFmtId="166" fontId="9" fillId="8" borderId="0" xfId="9" applyNumberFormat="1" applyAlignment="1">
      <alignment vertical="center"/>
    </xf>
    <xf numFmtId="166" fontId="0" fillId="9" borderId="0" xfId="2" applyNumberFormat="1" applyFont="1" applyFill="1" applyAlignment="1">
      <alignment vertical="center"/>
    </xf>
    <xf numFmtId="166" fontId="8" fillId="9" borderId="0" xfId="8" applyNumberFormat="1" applyFont="1" applyFill="1" applyAlignment="1">
      <alignment horizontal="center" vertical="center" wrapText="1"/>
    </xf>
    <xf numFmtId="166" fontId="0" fillId="0" borderId="1" xfId="2" applyNumberFormat="1" applyFont="1" applyBorder="1" applyAlignment="1">
      <alignment vertical="center"/>
    </xf>
    <xf numFmtId="166" fontId="3" fillId="0" borderId="7" xfId="7" applyNumberFormat="1" applyBorder="1" applyAlignment="1">
      <alignment vertical="center"/>
    </xf>
    <xf numFmtId="44" fontId="8" fillId="5" borderId="0" xfId="0" applyNumberFormat="1" applyFont="1" applyFill="1" applyAlignment="1">
      <alignment vertical="center"/>
    </xf>
    <xf numFmtId="0" fontId="4" fillId="0" borderId="0" xfId="11" applyFont="1" applyAlignment="1">
      <alignment horizontal="left" vertical="center" wrapText="1"/>
    </xf>
    <xf numFmtId="0" fontId="0" fillId="0" borderId="0" xfId="0" applyAlignment="1">
      <alignment vertical="center"/>
    </xf>
    <xf numFmtId="0" fontId="0" fillId="0" borderId="0" xfId="0" applyAlignment="1">
      <alignment vertical="center"/>
    </xf>
    <xf numFmtId="166" fontId="3" fillId="0" borderId="4" xfId="2" applyNumberFormat="1" applyFont="1" applyBorder="1" applyAlignment="1">
      <alignment vertical="center"/>
    </xf>
    <xf numFmtId="44" fontId="0" fillId="0" borderId="0" xfId="2" applyNumberFormat="1" applyFont="1" applyAlignment="1">
      <alignment vertical="center"/>
    </xf>
    <xf numFmtId="44" fontId="0" fillId="0" borderId="1" xfId="2" applyNumberFormat="1" applyFont="1" applyBorder="1" applyAlignment="1">
      <alignment vertical="center"/>
    </xf>
    <xf numFmtId="0" fontId="0" fillId="0" borderId="0" xfId="0" applyAlignment="1">
      <alignment vertical="center"/>
    </xf>
    <xf numFmtId="165" fontId="3" fillId="0" borderId="7" xfId="1" applyNumberFormat="1" applyFont="1" applyBorder="1" applyAlignment="1">
      <alignment vertical="center"/>
    </xf>
    <xf numFmtId="0" fontId="8" fillId="9" borderId="11" xfId="8" applyFont="1" applyFill="1" applyBorder="1" applyAlignment="1">
      <alignment horizontal="center" vertical="center" wrapText="1"/>
    </xf>
    <xf numFmtId="166" fontId="0" fillId="0" borderId="11" xfId="2" applyNumberFormat="1" applyFont="1" applyBorder="1" applyAlignment="1">
      <alignment vertical="center"/>
    </xf>
    <xf numFmtId="166" fontId="0" fillId="0" borderId="12" xfId="2" applyNumberFormat="1" applyFont="1" applyBorder="1" applyAlignment="1">
      <alignment vertical="center"/>
    </xf>
    <xf numFmtId="166" fontId="3" fillId="0" borderId="13" xfId="7" applyNumberFormat="1" applyBorder="1" applyAlignment="1">
      <alignment vertical="center"/>
    </xf>
    <xf numFmtId="166" fontId="0" fillId="0" borderId="14" xfId="2" applyNumberFormat="1" applyFont="1" applyBorder="1" applyAlignment="1">
      <alignment vertical="center"/>
    </xf>
    <xf numFmtId="0" fontId="8" fillId="9" borderId="10" xfId="8" applyFont="1" applyFill="1" applyBorder="1" applyAlignment="1">
      <alignment horizontal="center" vertical="center" wrapText="1"/>
    </xf>
    <xf numFmtId="44" fontId="0" fillId="0" borderId="11" xfId="2" applyNumberFormat="1" applyFont="1" applyBorder="1" applyAlignment="1">
      <alignment vertical="center"/>
    </xf>
    <xf numFmtId="44" fontId="0" fillId="0" borderId="12" xfId="2" applyNumberFormat="1" applyFont="1" applyBorder="1" applyAlignment="1">
      <alignment vertical="center"/>
    </xf>
    <xf numFmtId="166" fontId="8" fillId="9" borderId="11" xfId="8" applyNumberFormat="1" applyFont="1" applyFill="1" applyBorder="1" applyAlignment="1">
      <alignment horizontal="center" vertical="center" wrapText="1"/>
    </xf>
    <xf numFmtId="0" fontId="0" fillId="0" borderId="0" xfId="11" applyFont="1" applyAlignment="1">
      <alignment horizontal="left" vertical="center" wrapText="1"/>
    </xf>
    <xf numFmtId="0" fontId="0" fillId="0" borderId="0" xfId="11" applyFont="1" applyAlignment="1">
      <alignment vertical="center" wrapText="1"/>
    </xf>
    <xf numFmtId="0" fontId="1" fillId="0" borderId="9" xfId="0" applyFont="1" applyBorder="1" applyAlignment="1">
      <alignment horizontal="center" vertical="center" textRotation="90" wrapText="1"/>
    </xf>
    <xf numFmtId="0" fontId="1" fillId="0" borderId="0"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1" fillId="0" borderId="9" xfId="0" applyFont="1" applyBorder="1" applyAlignment="1">
      <alignment horizontal="center" textRotation="90" wrapText="1"/>
    </xf>
    <xf numFmtId="0" fontId="1" fillId="0" borderId="0" xfId="0" applyFont="1" applyBorder="1" applyAlignment="1">
      <alignment horizontal="center" textRotation="90" wrapText="1"/>
    </xf>
    <xf numFmtId="0" fontId="1" fillId="0" borderId="2" xfId="0" applyFont="1" applyBorder="1" applyAlignment="1">
      <alignment horizontal="center" textRotation="90" wrapText="1"/>
    </xf>
    <xf numFmtId="0" fontId="1" fillId="0" borderId="0" xfId="0" applyFont="1" applyBorder="1" applyAlignment="1">
      <alignment horizontal="center" vertical="center" textRotation="90"/>
    </xf>
    <xf numFmtId="0" fontId="1" fillId="0" borderId="2" xfId="0" applyFont="1" applyBorder="1" applyAlignment="1">
      <alignment horizontal="center" vertical="center" textRotation="90"/>
    </xf>
    <xf numFmtId="0" fontId="19" fillId="0" borderId="0" xfId="0" applyFont="1" applyAlignment="1">
      <alignment horizontal="left" vertical="center"/>
    </xf>
    <xf numFmtId="0" fontId="20" fillId="0" borderId="0" xfId="0" applyFont="1" applyAlignment="1">
      <alignment horizontal="center" vertical="center" wrapText="1"/>
    </xf>
    <xf numFmtId="0" fontId="2" fillId="0" borderId="0" xfId="11" applyFont="1" applyAlignment="1">
      <alignment horizontal="left" vertical="center" wrapText="1"/>
    </xf>
    <xf numFmtId="0" fontId="0" fillId="0" borderId="0" xfId="11" applyFont="1" applyAlignment="1">
      <alignment horizontal="left" vertical="center" wrapText="1"/>
    </xf>
    <xf numFmtId="0" fontId="0" fillId="0" borderId="0" xfId="11" applyFont="1" applyAlignment="1">
      <alignment horizontal="left" vertical="center"/>
    </xf>
  </cellXfs>
  <cellStyles count="15">
    <cellStyle name="Accent1" xfId="8" builtinId="29"/>
    <cellStyle name="Accent2" xfId="9" builtinId="33"/>
    <cellStyle name="Accent4" xfId="10" builtinId="41"/>
    <cellStyle name="Comma" xfId="1" builtinId="3"/>
    <cellStyle name="Comma 2" xfId="12"/>
    <cellStyle name="Currency" xfId="2" builtinId="4"/>
    <cellStyle name="Currency 2" xfId="13"/>
    <cellStyle name="Heading 1" xfId="6" builtinId="16"/>
    <cellStyle name="Normal" xfId="0" builtinId="0"/>
    <cellStyle name="Normal 2" xfId="4"/>
    <cellStyle name="Normal 3" xfId="3"/>
    <cellStyle name="Normal 4" xfId="11"/>
    <cellStyle name="Percent" xfId="5" builtinId="5"/>
    <cellStyle name="Percent 2" xfId="14"/>
    <cellStyle name="Total" xfId="7"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HPL">
  <a:themeElements>
    <a:clrScheme name="Custom 5">
      <a:dk1>
        <a:sysClr val="windowText" lastClr="000000"/>
      </a:dk1>
      <a:lt1>
        <a:sysClr val="window" lastClr="FFFFFF"/>
      </a:lt1>
      <a:dk2>
        <a:srgbClr val="000000"/>
      </a:dk2>
      <a:lt2>
        <a:srgbClr val="E7F0F9"/>
      </a:lt2>
      <a:accent1>
        <a:srgbClr val="0594FF"/>
      </a:accent1>
      <a:accent2>
        <a:srgbClr val="31D3D7"/>
      </a:accent2>
      <a:accent3>
        <a:srgbClr val="00B050"/>
      </a:accent3>
      <a:accent4>
        <a:srgbClr val="9900CC"/>
      </a:accent4>
      <a:accent5>
        <a:srgbClr val="24598F"/>
      </a:accent5>
      <a:accent6>
        <a:srgbClr val="179CD7"/>
      </a:accent6>
      <a:hlink>
        <a:srgbClr val="179CD7"/>
      </a:hlink>
      <a:folHlink>
        <a:srgbClr val="24598F"/>
      </a:folHlink>
    </a:clrScheme>
    <a:fontScheme name="Custom 3">
      <a:majorFont>
        <a:latin typeface="Brandon Grotesque Light"/>
        <a:ea typeface=""/>
        <a:cs typeface=""/>
      </a:majorFont>
      <a:minorFont>
        <a:latin typeface="Calibr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showGridLines="0" tabSelected="1" zoomScaleNormal="100" zoomScaleSheetLayoutView="100" workbookViewId="0"/>
  </sheetViews>
  <sheetFormatPr defaultColWidth="0" defaultRowHeight="15" zeroHeight="1" x14ac:dyDescent="0.25"/>
  <cols>
    <col min="1" max="1" width="3.5" customWidth="1"/>
    <col min="2" max="3" width="25.25" customWidth="1"/>
    <col min="4" max="5" width="19.75" customWidth="1"/>
    <col min="6" max="6" width="3.625" customWidth="1"/>
    <col min="7" max="7" width="20.125" hidden="1" customWidth="1"/>
    <col min="8" max="8" width="18" hidden="1" customWidth="1"/>
    <col min="9" max="15" width="0" hidden="1" customWidth="1"/>
    <col min="16" max="16384" width="9" hidden="1"/>
  </cols>
  <sheetData>
    <row r="1" spans="2:12" x14ac:dyDescent="0.25"/>
    <row r="2" spans="2:12" ht="20.25" thickBot="1" x14ac:dyDescent="0.3">
      <c r="B2" s="61" t="s">
        <v>117</v>
      </c>
      <c r="C2" s="62"/>
      <c r="D2" s="63"/>
      <c r="E2" s="63"/>
      <c r="F2" s="63"/>
    </row>
    <row r="3" spans="2:12" s="55" customFormat="1" ht="16.5" thickTop="1" x14ac:dyDescent="0.25">
      <c r="B3" s="56"/>
      <c r="C3" s="56"/>
      <c r="D3" s="56"/>
    </row>
    <row r="4" spans="2:12" ht="31.5" customHeight="1" x14ac:dyDescent="0.25">
      <c r="B4" s="54" t="s">
        <v>116</v>
      </c>
      <c r="C4" s="51" t="s">
        <v>24</v>
      </c>
      <c r="D4" s="51"/>
      <c r="E4" s="51" t="s">
        <v>209</v>
      </c>
      <c r="G4" s="55"/>
      <c r="H4" s="55"/>
      <c r="I4" s="55"/>
      <c r="J4" s="55"/>
    </row>
    <row r="5" spans="2:12" ht="15.75" x14ac:dyDescent="0.25">
      <c r="B5" s="3" t="s">
        <v>1</v>
      </c>
      <c r="C5" s="57">
        <v>6648169</v>
      </c>
      <c r="D5" s="57"/>
      <c r="E5" s="141">
        <v>78827398.348382995</v>
      </c>
      <c r="G5" s="55"/>
      <c r="H5" s="55"/>
      <c r="I5" s="55"/>
      <c r="J5" s="55"/>
      <c r="K5" s="55"/>
      <c r="L5" s="55"/>
    </row>
    <row r="6" spans="2:12" ht="15.75" x14ac:dyDescent="0.25">
      <c r="B6" s="3" t="s">
        <v>35</v>
      </c>
      <c r="C6" s="57">
        <v>679380</v>
      </c>
      <c r="D6" s="57"/>
      <c r="E6" s="141">
        <v>648128.52000000014</v>
      </c>
      <c r="G6" s="55"/>
      <c r="H6" s="55"/>
      <c r="I6" s="55"/>
      <c r="J6" s="55"/>
      <c r="K6" s="55"/>
      <c r="L6" s="55"/>
    </row>
    <row r="7" spans="2:12" ht="15.75" x14ac:dyDescent="0.25">
      <c r="B7" s="3" t="s">
        <v>105</v>
      </c>
      <c r="C7" s="57">
        <v>1265400.147209933</v>
      </c>
      <c r="D7" s="57"/>
      <c r="E7" s="141">
        <v>1746252.2031497075</v>
      </c>
      <c r="G7" s="55"/>
      <c r="H7" s="55"/>
      <c r="I7" s="55"/>
      <c r="J7" s="55"/>
      <c r="K7" s="55"/>
      <c r="L7" s="55"/>
    </row>
    <row r="8" spans="2:12" ht="15.75" x14ac:dyDescent="0.25">
      <c r="B8" s="3" t="s">
        <v>32</v>
      </c>
      <c r="C8" s="57">
        <v>2928</v>
      </c>
      <c r="D8" s="57"/>
      <c r="E8" s="141">
        <v>4040.6399999999994</v>
      </c>
      <c r="G8" s="55"/>
      <c r="H8" s="55"/>
      <c r="I8" s="55"/>
      <c r="J8" s="55"/>
      <c r="K8" s="55"/>
      <c r="L8" s="55"/>
    </row>
    <row r="9" spans="2:12" ht="15.75" x14ac:dyDescent="0.25">
      <c r="B9" s="3" t="s">
        <v>36</v>
      </c>
      <c r="C9" s="57">
        <v>885</v>
      </c>
      <c r="D9" s="57"/>
      <c r="E9" s="141">
        <v>15045</v>
      </c>
      <c r="G9" s="55"/>
      <c r="H9" s="55"/>
      <c r="I9" s="55"/>
      <c r="J9" s="55"/>
      <c r="K9" s="55"/>
      <c r="L9" s="55"/>
    </row>
    <row r="10" spans="2:12" ht="15.75" x14ac:dyDescent="0.25">
      <c r="B10" s="59" t="s">
        <v>4</v>
      </c>
      <c r="C10" s="60">
        <v>8596762.147209933</v>
      </c>
      <c r="D10" s="60"/>
      <c r="E10" s="142">
        <v>81240864.711532697</v>
      </c>
    </row>
    <row r="11" spans="2:12" s="52" customFormat="1" ht="15.75" x14ac:dyDescent="0.25">
      <c r="B11" s="53"/>
      <c r="C11" s="58"/>
      <c r="D11" s="58"/>
      <c r="E11" s="152"/>
    </row>
    <row r="12" spans="2:12" ht="15.75" x14ac:dyDescent="0.25">
      <c r="B12" s="54" t="s">
        <v>2</v>
      </c>
      <c r="C12" s="51" t="s">
        <v>53</v>
      </c>
      <c r="D12" s="51"/>
      <c r="E12" s="51" t="s">
        <v>209</v>
      </c>
    </row>
    <row r="13" spans="2:12" ht="15.75" x14ac:dyDescent="0.25">
      <c r="B13" s="3" t="s">
        <v>63</v>
      </c>
      <c r="C13" s="57">
        <v>181521</v>
      </c>
      <c r="D13" s="57"/>
      <c r="E13" s="141">
        <v>5066263.7100000009</v>
      </c>
    </row>
    <row r="14" spans="2:12" ht="15.75" x14ac:dyDescent="0.25">
      <c r="B14" s="59" t="s">
        <v>4</v>
      </c>
      <c r="C14" s="60">
        <v>181521</v>
      </c>
      <c r="D14" s="60"/>
      <c r="E14" s="142">
        <v>5066263.7100000009</v>
      </c>
    </row>
    <row r="15" spans="2:12" s="52" customFormat="1" ht="15.75" x14ac:dyDescent="0.25">
      <c r="B15" s="53"/>
      <c r="C15" s="58"/>
      <c r="D15" s="58"/>
      <c r="E15" s="152"/>
    </row>
    <row r="16" spans="2:12" ht="15.75" x14ac:dyDescent="0.25">
      <c r="B16" s="54" t="s">
        <v>118</v>
      </c>
      <c r="C16" s="51" t="s">
        <v>56</v>
      </c>
      <c r="D16" s="51"/>
      <c r="E16" s="51" t="s">
        <v>209</v>
      </c>
    </row>
    <row r="17" spans="2:5" ht="15.75" x14ac:dyDescent="0.25">
      <c r="B17" s="3" t="s">
        <v>108</v>
      </c>
      <c r="C17" s="57">
        <v>516978</v>
      </c>
      <c r="D17" s="57"/>
      <c r="E17" s="141">
        <v>9016950</v>
      </c>
    </row>
    <row r="18" spans="2:5" ht="15.75" x14ac:dyDescent="0.25">
      <c r="B18" s="59" t="s">
        <v>4</v>
      </c>
      <c r="C18" s="60">
        <v>516978</v>
      </c>
      <c r="D18" s="60"/>
      <c r="E18" s="142">
        <v>9016950</v>
      </c>
    </row>
    <row r="19" spans="2:5" s="52" customFormat="1" ht="15.75" x14ac:dyDescent="0.25">
      <c r="B19" s="64"/>
      <c r="C19" s="65"/>
      <c r="D19" s="65"/>
      <c r="E19" s="153"/>
    </row>
    <row r="20" spans="2:5" ht="15.75" x14ac:dyDescent="0.25">
      <c r="B20" s="54" t="s">
        <v>47</v>
      </c>
      <c r="C20" s="51" t="s">
        <v>40</v>
      </c>
      <c r="D20" s="51"/>
      <c r="E20" s="51" t="s">
        <v>209</v>
      </c>
    </row>
    <row r="21" spans="2:5" ht="15.75" x14ac:dyDescent="0.25">
      <c r="B21" s="3" t="s">
        <v>61</v>
      </c>
      <c r="C21" s="57">
        <v>3323772.0229641767</v>
      </c>
      <c r="D21" s="57"/>
      <c r="E21" s="141">
        <v>3326874.92390391</v>
      </c>
    </row>
    <row r="22" spans="2:5" ht="15.75" x14ac:dyDescent="0.25">
      <c r="B22" s="3" t="s">
        <v>62</v>
      </c>
      <c r="C22" s="57">
        <v>3582</v>
      </c>
      <c r="D22" s="57"/>
      <c r="E22" s="141">
        <v>25581.075000000001</v>
      </c>
    </row>
    <row r="23" spans="2:5" ht="15.75" x14ac:dyDescent="0.25">
      <c r="B23" s="59" t="s">
        <v>4</v>
      </c>
      <c r="C23" s="60">
        <v>3327354.0229641767</v>
      </c>
      <c r="D23" s="60"/>
      <c r="E23" s="142">
        <v>3352455.9989039102</v>
      </c>
    </row>
    <row r="24" spans="2:5" s="52" customFormat="1" ht="15.75" x14ac:dyDescent="0.25">
      <c r="B24" s="53"/>
      <c r="C24" s="53"/>
      <c r="D24" s="53"/>
      <c r="E24" s="152"/>
    </row>
    <row r="25" spans="2:5" s="170" customFormat="1" ht="29.25" customHeight="1" x14ac:dyDescent="0.25">
      <c r="B25" s="36" t="s">
        <v>8</v>
      </c>
      <c r="C25" s="36"/>
      <c r="D25" s="36"/>
      <c r="E25" s="143">
        <v>98676534.420436606</v>
      </c>
    </row>
    <row r="26" spans="2:5" x14ac:dyDescent="0.25">
      <c r="E26" s="144"/>
    </row>
    <row r="27" spans="2:5" ht="20.25" thickBot="1" x14ac:dyDescent="0.3">
      <c r="B27" s="61" t="s">
        <v>6</v>
      </c>
      <c r="C27" s="61"/>
      <c r="D27" s="61"/>
      <c r="E27" s="154"/>
    </row>
    <row r="28" spans="2:5" ht="15.75" thickTop="1" x14ac:dyDescent="0.25">
      <c r="E28" s="144"/>
    </row>
    <row r="29" spans="2:5" ht="15.75" x14ac:dyDescent="0.25">
      <c r="B29" s="66" t="s">
        <v>119</v>
      </c>
      <c r="C29" s="2"/>
      <c r="D29" s="51"/>
      <c r="E29" s="51" t="s">
        <v>209</v>
      </c>
    </row>
    <row r="30" spans="2:5" ht="15.75" x14ac:dyDescent="0.25">
      <c r="B30" s="59"/>
      <c r="C30" s="60"/>
      <c r="D30" s="60"/>
      <c r="E30" s="142">
        <v>11422093.388469903</v>
      </c>
    </row>
    <row r="31" spans="2:5" x14ac:dyDescent="0.25">
      <c r="E31" s="144"/>
    </row>
    <row r="32" spans="2:5" ht="15.75" x14ac:dyDescent="0.25">
      <c r="B32" s="66" t="s">
        <v>120</v>
      </c>
      <c r="C32" s="51"/>
      <c r="D32" s="51"/>
      <c r="E32" s="51" t="s">
        <v>209</v>
      </c>
    </row>
    <row r="33" spans="2:5" ht="15.75" x14ac:dyDescent="0.25">
      <c r="B33" s="59"/>
      <c r="C33" s="60"/>
      <c r="D33" s="60"/>
      <c r="E33" s="142">
        <v>40030894</v>
      </c>
    </row>
    <row r="34" spans="2:5" x14ac:dyDescent="0.25">
      <c r="E34" s="144"/>
    </row>
    <row r="35" spans="2:5" ht="15.75" x14ac:dyDescent="0.25">
      <c r="B35" s="66" t="s">
        <v>121</v>
      </c>
      <c r="C35" s="51"/>
      <c r="D35" s="51"/>
      <c r="E35" s="51" t="s">
        <v>209</v>
      </c>
    </row>
    <row r="36" spans="2:5" ht="15.75" x14ac:dyDescent="0.25">
      <c r="B36" s="59"/>
      <c r="C36" s="60"/>
      <c r="D36" s="60"/>
      <c r="E36" s="142">
        <v>6589917.9510410922</v>
      </c>
    </row>
    <row r="37" spans="2:5" x14ac:dyDescent="0.25">
      <c r="E37" s="144"/>
    </row>
    <row r="38" spans="2:5" ht="15.75" x14ac:dyDescent="0.25">
      <c r="B38" s="66" t="s">
        <v>122</v>
      </c>
      <c r="C38" s="51"/>
      <c r="D38" s="51"/>
      <c r="E38" s="51" t="s">
        <v>209</v>
      </c>
    </row>
    <row r="39" spans="2:5" ht="15.75" x14ac:dyDescent="0.25">
      <c r="B39" s="59"/>
      <c r="C39" s="60"/>
      <c r="D39" s="60"/>
      <c r="E39" s="142">
        <v>5136251.1404911848</v>
      </c>
    </row>
    <row r="40" spans="2:5" x14ac:dyDescent="0.25">
      <c r="E40" s="144"/>
    </row>
    <row r="41" spans="2:5" ht="29.25" customHeight="1" x14ac:dyDescent="0.25">
      <c r="B41" s="36" t="s">
        <v>7</v>
      </c>
      <c r="C41" s="36"/>
      <c r="D41" s="36"/>
      <c r="E41" s="143">
        <v>63179156.48000218</v>
      </c>
    </row>
    <row r="42" spans="2:5" x14ac:dyDescent="0.25"/>
    <row r="43" spans="2:5" x14ac:dyDescent="0.25"/>
    <row r="44" spans="2:5" ht="29.25" customHeight="1" x14ac:dyDescent="0.25">
      <c r="B44" s="69" t="s">
        <v>123</v>
      </c>
      <c r="C44" s="67"/>
      <c r="D44" s="68"/>
      <c r="E44" s="71" t="s">
        <v>209</v>
      </c>
    </row>
    <row r="45" spans="2:5" ht="29.25" customHeight="1" x14ac:dyDescent="0.25">
      <c r="B45" s="70" t="s">
        <v>124</v>
      </c>
      <c r="C45" s="36"/>
      <c r="D45" s="36"/>
      <c r="E45" s="143">
        <v>161855690.90043879</v>
      </c>
    </row>
    <row r="46" spans="2:5" x14ac:dyDescent="0.25">
      <c r="E46" s="144"/>
    </row>
    <row r="47" spans="2:5" ht="29.25" customHeight="1" x14ac:dyDescent="0.25">
      <c r="B47" s="72" t="s">
        <v>93</v>
      </c>
      <c r="C47" s="36"/>
      <c r="D47" s="36"/>
      <c r="E47" s="143">
        <v>1595.0570746442547</v>
      </c>
    </row>
    <row r="48" spans="2:5" x14ac:dyDescent="0.25"/>
    <row r="49" spans="2:8" x14ac:dyDescent="0.25"/>
    <row r="50" spans="2:8" ht="43.5" customHeight="1" x14ac:dyDescent="0.25">
      <c r="B50" s="69" t="s">
        <v>210</v>
      </c>
      <c r="C50" s="67"/>
      <c r="D50" s="71" t="s">
        <v>125</v>
      </c>
      <c r="E50" s="71" t="s">
        <v>167</v>
      </c>
      <c r="G50" s="155"/>
      <c r="H50" s="155"/>
    </row>
    <row r="51" spans="2:8" x14ac:dyDescent="0.25">
      <c r="B51" s="72" t="s">
        <v>126</v>
      </c>
      <c r="C51" s="36"/>
      <c r="D51" s="143">
        <v>301.45383904856578</v>
      </c>
      <c r="E51" s="37">
        <v>536917</v>
      </c>
      <c r="G51" s="155"/>
      <c r="H51" s="155"/>
    </row>
    <row r="52" spans="2:8" x14ac:dyDescent="0.25">
      <c r="B52" s="72" t="s">
        <v>127</v>
      </c>
      <c r="C52" s="36"/>
      <c r="D52" s="143">
        <v>764.9279329497665</v>
      </c>
      <c r="E52" s="37">
        <v>211596</v>
      </c>
      <c r="G52" s="155"/>
      <c r="H52" s="155"/>
    </row>
    <row r="53" spans="2:8" x14ac:dyDescent="0.25">
      <c r="B53" s="72" t="s">
        <v>128</v>
      </c>
      <c r="C53" s="36"/>
      <c r="D53" s="143">
        <v>1021.9710745342652</v>
      </c>
      <c r="E53" s="37">
        <v>158376</v>
      </c>
      <c r="G53" s="155"/>
      <c r="H53" s="155"/>
    </row>
    <row r="54" spans="2:8" x14ac:dyDescent="0.25">
      <c r="B54" s="72" t="s">
        <v>181</v>
      </c>
      <c r="C54" s="133">
        <v>4.5903236713108457</v>
      </c>
      <c r="D54" s="168">
        <v>5.5903236713108457</v>
      </c>
      <c r="E54" s="38"/>
      <c r="G54" s="155"/>
      <c r="H54" s="155"/>
    </row>
    <row r="55" spans="2:8" x14ac:dyDescent="0.25">
      <c r="G55" s="155"/>
      <c r="H55" s="155"/>
    </row>
    <row r="56" spans="2:8" ht="31.5" x14ac:dyDescent="0.25">
      <c r="B56" s="69" t="s">
        <v>180</v>
      </c>
      <c r="C56" s="67"/>
      <c r="D56" s="68"/>
      <c r="E56" s="71" t="s">
        <v>209</v>
      </c>
    </row>
    <row r="57" spans="2:8" x14ac:dyDescent="0.25">
      <c r="B57" s="36" t="s">
        <v>114</v>
      </c>
      <c r="C57" s="37"/>
      <c r="D57" s="38"/>
      <c r="E57" s="150">
        <v>4.5903236713108457</v>
      </c>
    </row>
    <row r="58" spans="2:8" x14ac:dyDescent="0.25">
      <c r="B58" s="36" t="s">
        <v>178</v>
      </c>
      <c r="C58" s="37"/>
      <c r="D58" s="38"/>
      <c r="E58" s="151">
        <v>5.5903236713108457</v>
      </c>
    </row>
    <row r="59" spans="2:8" x14ac:dyDescent="0.25"/>
    <row r="60" spans="2:8" hidden="1" x14ac:dyDescent="0.25"/>
    <row r="61" spans="2:8" hidden="1" x14ac:dyDescent="0.25"/>
    <row r="62" spans="2:8" hidden="1" x14ac:dyDescent="0.25"/>
    <row r="63" spans="2:8" hidden="1" x14ac:dyDescent="0.25"/>
    <row r="64" spans="2:8"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x14ac:dyDescent="0.25"/>
  </sheetData>
  <pageMargins left="0.7" right="0.7" top="0.75" bottom="0.75" header="0.3" footer="0.3"/>
  <pageSetup scale="96" fitToHeight="0" orientation="portrait" r:id="rId1"/>
  <headerFooter>
    <oddHeader>&amp;F</oddHeader>
    <oddFooter>&amp;A&amp;RPage &amp;P</oddFooter>
  </headerFooter>
  <rowBreaks count="1" manualBreakCount="1">
    <brk id="26" min="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showGridLines="0" showRowColHeaders="0" tabSelected="1" zoomScaleNormal="100" workbookViewId="0"/>
  </sheetViews>
  <sheetFormatPr defaultColWidth="0" defaultRowHeight="15" zeroHeight="1" x14ac:dyDescent="0.25"/>
  <cols>
    <col min="1" max="1" width="3.5" style="4" customWidth="1"/>
    <col min="2" max="2" width="25.625" style="4" customWidth="1"/>
    <col min="3" max="3" width="17.375" style="6" customWidth="1"/>
    <col min="4" max="4" width="10.125" style="7" customWidth="1"/>
    <col min="5" max="8" width="18.125" style="7" customWidth="1"/>
    <col min="9" max="9" width="3.75" style="4" customWidth="1"/>
    <col min="10" max="16384" width="9" style="4" hidden="1"/>
  </cols>
  <sheetData>
    <row r="1" spans="2:8" x14ac:dyDescent="0.25">
      <c r="G1" s="4"/>
      <c r="H1" s="4"/>
    </row>
    <row r="2" spans="2:8" ht="20.25" thickBot="1" x14ac:dyDescent="0.3">
      <c r="B2" s="24" t="s">
        <v>84</v>
      </c>
      <c r="C2" s="25"/>
      <c r="D2" s="26"/>
      <c r="E2" s="26"/>
      <c r="F2" s="26"/>
      <c r="G2" s="26"/>
      <c r="H2" s="26"/>
    </row>
    <row r="3" spans="2:8" ht="16.5" thickTop="1" thickBot="1" x14ac:dyDescent="0.3"/>
    <row r="4" spans="2:8" x14ac:dyDescent="0.25">
      <c r="B4" s="31"/>
      <c r="C4" s="30" t="s">
        <v>68</v>
      </c>
      <c r="D4" s="30"/>
      <c r="E4" s="30" t="s">
        <v>67</v>
      </c>
      <c r="F4" s="30" t="s">
        <v>74</v>
      </c>
      <c r="G4" s="182" t="s">
        <v>75</v>
      </c>
      <c r="H4" s="30" t="s">
        <v>76</v>
      </c>
    </row>
    <row r="5" spans="2:8" x14ac:dyDescent="0.25">
      <c r="B5" s="4" t="s">
        <v>78</v>
      </c>
      <c r="C5" s="23">
        <f>'Input Values Data'!E54</f>
        <v>19599296.501600001</v>
      </c>
      <c r="D5" s="32"/>
      <c r="E5" s="146">
        <f>C5*1</f>
        <v>19599296.501600001</v>
      </c>
      <c r="F5" s="146">
        <f>E5*1.4</f>
        <v>27439015.10224</v>
      </c>
      <c r="G5" s="183">
        <f>E5*2</f>
        <v>39198593.003200002</v>
      </c>
      <c r="H5" s="173">
        <f>E5*3</f>
        <v>58797889.504800007</v>
      </c>
    </row>
    <row r="6" spans="2:8" x14ac:dyDescent="0.25">
      <c r="B6" s="39" t="s">
        <v>79</v>
      </c>
      <c r="C6" s="48">
        <f>'Input Values Data'!E55</f>
        <v>416150.49839999987</v>
      </c>
      <c r="D6" s="49"/>
      <c r="E6" s="166">
        <f>C6</f>
        <v>416150.49839999987</v>
      </c>
      <c r="F6" s="166">
        <f>E6*1.4</f>
        <v>582610.69775999978</v>
      </c>
      <c r="G6" s="184">
        <f>E6*2</f>
        <v>832300.99679999973</v>
      </c>
      <c r="H6" s="174">
        <f>E6*3</f>
        <v>1248451.4951999995</v>
      </c>
    </row>
    <row r="7" spans="2:8" ht="15.75" thickBot="1" x14ac:dyDescent="0.3">
      <c r="B7" s="45" t="s">
        <v>81</v>
      </c>
      <c r="C7" s="46">
        <f>SUM(C5:C6)</f>
        <v>20015447</v>
      </c>
      <c r="D7" s="47"/>
      <c r="E7" s="167">
        <f>SUM(E5:E6)</f>
        <v>20015447</v>
      </c>
      <c r="F7" s="167">
        <f>SUM(F5:F6)</f>
        <v>28021625.800000001</v>
      </c>
      <c r="G7" s="180">
        <f>SUM(G5:G6)</f>
        <v>40030894</v>
      </c>
      <c r="H7" s="167">
        <f>SUM(H5:H6)</f>
        <v>60046341.000000007</v>
      </c>
    </row>
    <row r="8" spans="2:8" ht="15.75" thickTop="1" x14ac:dyDescent="0.25">
      <c r="E8" s="146"/>
      <c r="F8" s="146"/>
      <c r="G8" s="178"/>
      <c r="H8" s="146"/>
    </row>
    <row r="9" spans="2:8" x14ac:dyDescent="0.25">
      <c r="E9" s="146"/>
      <c r="F9" s="146"/>
      <c r="G9" s="178"/>
      <c r="H9" s="146"/>
    </row>
    <row r="10" spans="2:8" x14ac:dyDescent="0.25">
      <c r="B10" s="31"/>
      <c r="C10" s="30"/>
      <c r="D10" s="30"/>
      <c r="E10" s="165" t="s">
        <v>67</v>
      </c>
      <c r="F10" s="165" t="s">
        <v>74</v>
      </c>
      <c r="G10" s="185" t="s">
        <v>75</v>
      </c>
      <c r="H10" s="165" t="s">
        <v>76</v>
      </c>
    </row>
    <row r="11" spans="2:8" ht="15.75" thickBot="1" x14ac:dyDescent="0.3">
      <c r="B11" s="4" t="s">
        <v>89</v>
      </c>
      <c r="E11" s="146">
        <f>E7</f>
        <v>20015447</v>
      </c>
      <c r="F11" s="146">
        <f t="shared" ref="F11:H11" si="0">F7</f>
        <v>28021625.800000001</v>
      </c>
      <c r="G11" s="181">
        <f t="shared" si="0"/>
        <v>40030894</v>
      </c>
      <c r="H11" s="146">
        <f t="shared" si="0"/>
        <v>60046341.000000007</v>
      </c>
    </row>
    <row r="12" spans="2:8" x14ac:dyDescent="0.25"/>
    <row r="13" spans="2:8" x14ac:dyDescent="0.25">
      <c r="B13" s="199" t="s">
        <v>80</v>
      </c>
      <c r="C13" s="199"/>
      <c r="D13" s="199"/>
      <c r="E13" s="199"/>
      <c r="F13" s="199"/>
      <c r="G13" s="199"/>
      <c r="H13" s="4"/>
    </row>
    <row r="14" spans="2:8" x14ac:dyDescent="0.25">
      <c r="B14" s="199"/>
      <c r="C14" s="199"/>
      <c r="D14" s="199"/>
      <c r="E14" s="199"/>
      <c r="F14" s="199"/>
      <c r="G14" s="199"/>
      <c r="H14" s="4"/>
    </row>
    <row r="15" spans="2:8" ht="15" customHeight="1" x14ac:dyDescent="0.25">
      <c r="B15" s="199"/>
      <c r="C15" s="199"/>
      <c r="D15" s="199"/>
      <c r="E15" s="199"/>
      <c r="F15" s="199"/>
      <c r="G15" s="199"/>
      <c r="H15" s="4"/>
    </row>
    <row r="16" spans="2:8" x14ac:dyDescent="0.25">
      <c r="B16" s="199"/>
      <c r="C16" s="199"/>
      <c r="D16" s="199"/>
      <c r="E16" s="199"/>
      <c r="F16" s="199"/>
      <c r="G16" s="199"/>
      <c r="H16" s="4"/>
    </row>
    <row r="17" spans="2:8" x14ac:dyDescent="0.25">
      <c r="B17" s="187"/>
      <c r="C17" s="187"/>
      <c r="D17" s="187"/>
      <c r="E17" s="187"/>
      <c r="F17" s="187"/>
      <c r="G17" s="187"/>
      <c r="H17" s="33"/>
    </row>
    <row r="18" spans="2:8" ht="15" customHeight="1" x14ac:dyDescent="0.25">
      <c r="B18" s="199" t="s">
        <v>202</v>
      </c>
      <c r="C18" s="199"/>
      <c r="D18" s="199"/>
      <c r="E18" s="199"/>
      <c r="F18" s="199"/>
      <c r="G18" s="199"/>
      <c r="H18" s="4"/>
    </row>
    <row r="19" spans="2:8" x14ac:dyDescent="0.25">
      <c r="B19" s="199"/>
      <c r="C19" s="199"/>
      <c r="D19" s="199"/>
      <c r="E19" s="199"/>
      <c r="F19" s="199"/>
      <c r="G19" s="199"/>
      <c r="H19" s="4"/>
    </row>
    <row r="20" spans="2:8" x14ac:dyDescent="0.25">
      <c r="B20" s="199"/>
      <c r="C20" s="199"/>
      <c r="D20" s="199"/>
      <c r="E20" s="199"/>
      <c r="F20" s="199"/>
      <c r="G20" s="199"/>
      <c r="H20" s="4"/>
    </row>
    <row r="21" spans="2:8" x14ac:dyDescent="0.25">
      <c r="B21" s="199"/>
      <c r="C21" s="199"/>
      <c r="D21" s="199"/>
      <c r="E21" s="199"/>
      <c r="F21" s="199"/>
      <c r="G21" s="199"/>
      <c r="H21" s="4"/>
    </row>
    <row r="22" spans="2:8" x14ac:dyDescent="0.25">
      <c r="B22" s="1"/>
    </row>
    <row r="23" spans="2:8" x14ac:dyDescent="0.25">
      <c r="B23" s="175" t="s">
        <v>212</v>
      </c>
    </row>
    <row r="24" spans="2:8" x14ac:dyDescent="0.25"/>
    <row r="25" spans="2:8" x14ac:dyDescent="0.25"/>
    <row r="26" spans="2:8" x14ac:dyDescent="0.25"/>
    <row r="27" spans="2:8" hidden="1" x14ac:dyDescent="0.25"/>
    <row r="28" spans="2:8" hidden="1" x14ac:dyDescent="0.25"/>
    <row r="29" spans="2:8" hidden="1" x14ac:dyDescent="0.25"/>
    <row r="30" spans="2:8" hidden="1" x14ac:dyDescent="0.25"/>
    <row r="31" spans="2:8" hidden="1" x14ac:dyDescent="0.25"/>
    <row r="32" spans="2: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spans="2:8" hidden="1" x14ac:dyDescent="0.25"/>
    <row r="50" spans="2:8" hidden="1" x14ac:dyDescent="0.25"/>
    <row r="51" spans="2:8" hidden="1" x14ac:dyDescent="0.25"/>
    <row r="52" spans="2:8" hidden="1" x14ac:dyDescent="0.25"/>
    <row r="53" spans="2:8" hidden="1" x14ac:dyDescent="0.25"/>
    <row r="54" spans="2:8" hidden="1" x14ac:dyDescent="0.25">
      <c r="B54" s="4" t="s">
        <v>179</v>
      </c>
      <c r="G54" s="32"/>
      <c r="H54" s="32"/>
    </row>
    <row r="55" spans="2:8" hidden="1" x14ac:dyDescent="0.25">
      <c r="G55" s="32"/>
      <c r="H55" s="32"/>
    </row>
    <row r="56" spans="2:8" hidden="1" x14ac:dyDescent="0.25">
      <c r="G56" s="32"/>
      <c r="H56" s="32"/>
    </row>
    <row r="57" spans="2:8" hidden="1" x14ac:dyDescent="0.25">
      <c r="G57" s="32"/>
      <c r="H57" s="32"/>
    </row>
  </sheetData>
  <mergeCells count="2">
    <mergeCell ref="B13:G16"/>
    <mergeCell ref="B18:G21"/>
  </mergeCells>
  <pageMargins left="0.7" right="0.7" top="0.75" bottom="0.75" header="0.3" footer="0.3"/>
  <pageSetup scale="72" fitToHeight="0" orientation="portrait" r:id="rId1"/>
  <headerFooter>
    <oddHeader>&amp;F</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showRowColHeaders="0" tabSelected="1" zoomScaleNormal="100" workbookViewId="0"/>
  </sheetViews>
  <sheetFormatPr defaultColWidth="0" defaultRowHeight="15" zeroHeight="1" x14ac:dyDescent="0.25"/>
  <cols>
    <col min="1" max="1" width="3.5" style="4" customWidth="1"/>
    <col min="2" max="2" width="25.625" style="4" customWidth="1"/>
    <col min="3" max="3" width="17.375" style="6" customWidth="1"/>
    <col min="4" max="4" width="10.125" style="7" customWidth="1"/>
    <col min="5" max="8" width="18.125" style="7" customWidth="1"/>
    <col min="9" max="9" width="3.75" style="4" customWidth="1"/>
    <col min="10" max="16384" width="9" style="4" hidden="1"/>
  </cols>
  <sheetData>
    <row r="1" spans="2:8" x14ac:dyDescent="0.25">
      <c r="G1" s="4"/>
      <c r="H1" s="4"/>
    </row>
    <row r="2" spans="2:8" ht="20.25" thickBot="1" x14ac:dyDescent="0.3">
      <c r="B2" s="24" t="s">
        <v>83</v>
      </c>
      <c r="C2" s="25"/>
      <c r="D2" s="26"/>
      <c r="E2" s="26"/>
      <c r="F2" s="26"/>
      <c r="G2" s="26"/>
      <c r="H2" s="26"/>
    </row>
    <row r="3" spans="2:8" ht="16.5" thickTop="1" thickBot="1" x14ac:dyDescent="0.3"/>
    <row r="4" spans="2:8" ht="30" x14ac:dyDescent="0.25">
      <c r="B4" s="31"/>
      <c r="C4" s="30" t="s">
        <v>68</v>
      </c>
      <c r="D4" s="30" t="s">
        <v>66</v>
      </c>
      <c r="E4" s="30" t="s">
        <v>67</v>
      </c>
      <c r="F4" s="30" t="s">
        <v>74</v>
      </c>
      <c r="G4" s="182" t="s">
        <v>75</v>
      </c>
      <c r="H4" s="30" t="s">
        <v>76</v>
      </c>
    </row>
    <row r="5" spans="2:8" x14ac:dyDescent="0.25">
      <c r="B5" s="4" t="s">
        <v>69</v>
      </c>
      <c r="C5" s="23">
        <v>3282952.9232633845</v>
      </c>
      <c r="D5" s="74">
        <f>IFERROR(C5/C$8,0)</f>
        <v>0.91224659691874599</v>
      </c>
      <c r="E5" s="146">
        <f>C5*1</f>
        <v>3282952.9232633845</v>
      </c>
      <c r="F5" s="146">
        <f>E5*1.4</f>
        <v>4596134.0925687384</v>
      </c>
      <c r="G5" s="178">
        <f>E5*2</f>
        <v>6565905.846526769</v>
      </c>
      <c r="H5" s="146">
        <f>E5*2</f>
        <v>6565905.846526769</v>
      </c>
    </row>
    <row r="6" spans="2:8" x14ac:dyDescent="0.25">
      <c r="B6" s="4" t="s">
        <v>70</v>
      </c>
      <c r="C6" s="23">
        <v>17151.503224516586</v>
      </c>
      <c r="D6" s="74">
        <f>IFERROR(C6/C$8,0)</f>
        <v>4.7659533396698893E-3</v>
      </c>
      <c r="E6" s="146">
        <f>C6</f>
        <v>17151.503224516586</v>
      </c>
      <c r="F6" s="146">
        <f>E6</f>
        <v>17151.503224516586</v>
      </c>
      <c r="G6" s="178">
        <f>E6*1.4</f>
        <v>24012.104514323219</v>
      </c>
      <c r="H6" s="146">
        <f>E6*1.4</f>
        <v>24012.104514323219</v>
      </c>
    </row>
    <row r="7" spans="2:8" x14ac:dyDescent="0.25">
      <c r="B7" s="39" t="s">
        <v>71</v>
      </c>
      <c r="C7" s="48">
        <v>298651.58351209835</v>
      </c>
      <c r="D7" s="75">
        <f>IFERROR(C7/C$8,0)</f>
        <v>8.2987449741584007E-2</v>
      </c>
      <c r="E7" s="166">
        <f>C7</f>
        <v>298651.58351209835</v>
      </c>
      <c r="F7" s="166">
        <f>E7</f>
        <v>298651.58351209835</v>
      </c>
      <c r="G7" s="179">
        <f>E7</f>
        <v>298651.58351209835</v>
      </c>
      <c r="H7" s="166">
        <f>E7</f>
        <v>298651.58351209835</v>
      </c>
    </row>
    <row r="8" spans="2:8" ht="15.75" thickBot="1" x14ac:dyDescent="0.3">
      <c r="B8" s="45" t="s">
        <v>72</v>
      </c>
      <c r="C8" s="46">
        <f t="shared" ref="C8:H8" si="0">SUM(C5:C7)</f>
        <v>3598756.01</v>
      </c>
      <c r="D8" s="73">
        <f t="shared" si="0"/>
        <v>0.99999999999999989</v>
      </c>
      <c r="E8" s="167">
        <f t="shared" si="0"/>
        <v>3598756.01</v>
      </c>
      <c r="F8" s="167">
        <f t="shared" si="0"/>
        <v>4911937.1793053532</v>
      </c>
      <c r="G8" s="180">
        <f t="shared" si="0"/>
        <v>6888569.5345531907</v>
      </c>
      <c r="H8" s="167">
        <f t="shared" si="0"/>
        <v>6888569.5345531907</v>
      </c>
    </row>
    <row r="9" spans="2:8" ht="15.75" thickTop="1" x14ac:dyDescent="0.25">
      <c r="E9" s="146"/>
      <c r="F9" s="146"/>
      <c r="G9" s="178"/>
      <c r="H9" s="146"/>
    </row>
    <row r="10" spans="2:8" x14ac:dyDescent="0.25">
      <c r="E10" s="146"/>
      <c r="F10" s="146"/>
      <c r="G10" s="178"/>
      <c r="H10" s="146"/>
    </row>
    <row r="11" spans="2:8" x14ac:dyDescent="0.25">
      <c r="B11" s="31"/>
      <c r="C11" s="30"/>
      <c r="D11" s="30"/>
      <c r="E11" s="165" t="s">
        <v>200</v>
      </c>
      <c r="F11" s="30" t="s">
        <v>74</v>
      </c>
      <c r="G11" s="177" t="s">
        <v>75</v>
      </c>
      <c r="H11" s="30" t="s">
        <v>76</v>
      </c>
    </row>
    <row r="12" spans="2:8" ht="15.75" thickBot="1" x14ac:dyDescent="0.3">
      <c r="B12" s="4" t="s">
        <v>88</v>
      </c>
      <c r="E12" s="146">
        <f>C8</f>
        <v>3598756.01</v>
      </c>
      <c r="F12" s="146">
        <f>SUM(F5:F6)</f>
        <v>4613285.5957932547</v>
      </c>
      <c r="G12" s="181">
        <f>SUM(G5:G6)</f>
        <v>6589917.9510410922</v>
      </c>
      <c r="H12" s="146">
        <f>SUM(H5:H7)</f>
        <v>6888569.5345531907</v>
      </c>
    </row>
    <row r="13" spans="2:8" x14ac:dyDescent="0.25">
      <c r="B13" s="1"/>
    </row>
    <row r="14" spans="2:8" ht="15" customHeight="1" x14ac:dyDescent="0.25">
      <c r="B14" s="199" t="s">
        <v>204</v>
      </c>
      <c r="C14" s="199"/>
      <c r="D14" s="199"/>
      <c r="E14" s="199"/>
      <c r="F14" s="199"/>
      <c r="G14" s="199"/>
      <c r="H14" s="4"/>
    </row>
    <row r="15" spans="2:8" x14ac:dyDescent="0.25">
      <c r="B15" s="199"/>
      <c r="C15" s="199"/>
      <c r="D15" s="199"/>
      <c r="E15" s="199"/>
      <c r="F15" s="199"/>
      <c r="G15" s="199"/>
      <c r="H15" s="169"/>
    </row>
    <row r="16" spans="2:8" s="170" customFormat="1" x14ac:dyDescent="0.25">
      <c r="B16" s="186"/>
      <c r="C16" s="186"/>
      <c r="D16" s="186"/>
      <c r="E16" s="186"/>
      <c r="F16" s="186"/>
      <c r="G16" s="186"/>
      <c r="H16" s="169"/>
    </row>
    <row r="17" spans="2:8" ht="15" customHeight="1" x14ac:dyDescent="0.25">
      <c r="B17" s="199" t="s">
        <v>201</v>
      </c>
      <c r="C17" s="199"/>
      <c r="D17" s="199"/>
      <c r="E17" s="199"/>
      <c r="F17" s="199"/>
      <c r="G17" s="199"/>
      <c r="H17" s="4"/>
    </row>
    <row r="18" spans="2:8" x14ac:dyDescent="0.25">
      <c r="B18" s="199"/>
      <c r="C18" s="199"/>
      <c r="D18" s="199"/>
      <c r="E18" s="199"/>
      <c r="F18" s="199"/>
      <c r="G18" s="199"/>
      <c r="H18" s="4"/>
    </row>
    <row r="19" spans="2:8" x14ac:dyDescent="0.25">
      <c r="B19" s="199"/>
      <c r="C19" s="199"/>
      <c r="D19" s="199"/>
      <c r="E19" s="199"/>
      <c r="F19" s="199"/>
      <c r="G19" s="199"/>
      <c r="H19" s="4"/>
    </row>
    <row r="20" spans="2:8" x14ac:dyDescent="0.25">
      <c r="B20" s="199"/>
      <c r="C20" s="199"/>
      <c r="D20" s="199"/>
      <c r="E20" s="199"/>
      <c r="F20" s="199"/>
      <c r="G20" s="199"/>
      <c r="H20" s="4"/>
    </row>
    <row r="21" spans="2:8" x14ac:dyDescent="0.25">
      <c r="B21" s="1"/>
    </row>
    <row r="22" spans="2:8" x14ac:dyDescent="0.25">
      <c r="B22" s="1" t="s">
        <v>212</v>
      </c>
    </row>
    <row r="23" spans="2:8" x14ac:dyDescent="0.25"/>
    <row r="24" spans="2:8" x14ac:dyDescent="0.25"/>
    <row r="25" spans="2:8" x14ac:dyDescent="0.25"/>
    <row r="26" spans="2:8" x14ac:dyDescent="0.25"/>
    <row r="27" spans="2:8" hidden="1" x14ac:dyDescent="0.25"/>
    <row r="28" spans="2:8" hidden="1" x14ac:dyDescent="0.25"/>
    <row r="29" spans="2:8" hidden="1" x14ac:dyDescent="0.25"/>
    <row r="30" spans="2:8" hidden="1" x14ac:dyDescent="0.25"/>
    <row r="31" spans="2:8" hidden="1" x14ac:dyDescent="0.25"/>
    <row r="32" spans="2: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spans="2:8" hidden="1" x14ac:dyDescent="0.25"/>
    <row r="50" spans="2:8" hidden="1" x14ac:dyDescent="0.25"/>
    <row r="51" spans="2:8" hidden="1" x14ac:dyDescent="0.25"/>
    <row r="52" spans="2:8" hidden="1" x14ac:dyDescent="0.25"/>
    <row r="53" spans="2:8" hidden="1" x14ac:dyDescent="0.25"/>
    <row r="54" spans="2:8" hidden="1" x14ac:dyDescent="0.25"/>
    <row r="55" spans="2:8" hidden="1" x14ac:dyDescent="0.25">
      <c r="B55" s="4" t="s">
        <v>179</v>
      </c>
      <c r="G55" s="32"/>
      <c r="H55" s="32"/>
    </row>
    <row r="56" spans="2:8" hidden="1" x14ac:dyDescent="0.25">
      <c r="G56" s="32"/>
      <c r="H56" s="32"/>
    </row>
    <row r="57" spans="2:8" hidden="1" x14ac:dyDescent="0.25">
      <c r="G57" s="32"/>
      <c r="H57" s="32"/>
    </row>
    <row r="58" spans="2:8" hidden="1" x14ac:dyDescent="0.25">
      <c r="G58" s="32"/>
      <c r="H58" s="32"/>
    </row>
  </sheetData>
  <mergeCells count="2">
    <mergeCell ref="B17:G20"/>
    <mergeCell ref="B14:G15"/>
  </mergeCells>
  <pageMargins left="0.7" right="0.7" top="0.75" bottom="0.75" header="0.3" footer="0.3"/>
  <pageSetup scale="72" fitToHeight="0" orientation="portrait" r:id="rId1"/>
  <headerFooter>
    <oddHeader>&amp;F</oddHeader>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showGridLines="0" showRowColHeaders="0" tabSelected="1" zoomScaleNormal="100" workbookViewId="0"/>
  </sheetViews>
  <sheetFormatPr defaultColWidth="0" defaultRowHeight="15" zeroHeight="1" x14ac:dyDescent="0.25"/>
  <cols>
    <col min="1" max="1" width="3.5" style="4" customWidth="1"/>
    <col min="2" max="2" width="25.625" style="4" customWidth="1"/>
    <col min="3" max="3" width="17.375" style="6" customWidth="1"/>
    <col min="4" max="4" width="10.125" style="7" customWidth="1"/>
    <col min="5" max="8" width="18.125" style="7" customWidth="1"/>
    <col min="9" max="9" width="3.75" style="4" customWidth="1"/>
    <col min="10" max="16384" width="9" style="4" hidden="1"/>
  </cols>
  <sheetData>
    <row r="1" spans="2:8" x14ac:dyDescent="0.25">
      <c r="G1" s="4"/>
      <c r="H1" s="4"/>
    </row>
    <row r="2" spans="2:8" ht="20.25" thickBot="1" x14ac:dyDescent="0.3">
      <c r="B2" s="24" t="s">
        <v>82</v>
      </c>
      <c r="C2" s="25"/>
      <c r="D2" s="26"/>
      <c r="E2" s="26"/>
      <c r="F2" s="26"/>
      <c r="G2" s="26"/>
      <c r="H2" s="26"/>
    </row>
    <row r="3" spans="2:8" ht="16.5" thickTop="1" thickBot="1" x14ac:dyDescent="0.3"/>
    <row r="4" spans="2:8" ht="30" x14ac:dyDescent="0.25">
      <c r="B4" s="31"/>
      <c r="C4" s="30" t="s">
        <v>68</v>
      </c>
      <c r="D4" s="30" t="s">
        <v>66</v>
      </c>
      <c r="E4" s="30" t="s">
        <v>67</v>
      </c>
      <c r="F4" s="30" t="s">
        <v>74</v>
      </c>
      <c r="G4" s="182" t="s">
        <v>75</v>
      </c>
      <c r="H4" s="30" t="s">
        <v>76</v>
      </c>
    </row>
    <row r="5" spans="2:8" x14ac:dyDescent="0.25">
      <c r="B5" s="4" t="s">
        <v>69</v>
      </c>
      <c r="C5" s="23">
        <f>'Input Values Data'!E59</f>
        <v>2566435.2796646566</v>
      </c>
      <c r="D5" s="74">
        <f>IFERROR(C5/C$8,0)</f>
        <v>0.73160441552334243</v>
      </c>
      <c r="E5" s="146">
        <f>C5*1</f>
        <v>2566435.2796646566</v>
      </c>
      <c r="F5" s="146">
        <f>E5*1.4</f>
        <v>3593009.3915305189</v>
      </c>
      <c r="G5" s="178">
        <f>E5*2</f>
        <v>5132870.5593293132</v>
      </c>
      <c r="H5" s="146">
        <f>E5*2</f>
        <v>5132870.5593293132</v>
      </c>
    </row>
    <row r="6" spans="2:8" x14ac:dyDescent="0.25">
      <c r="B6" s="4" t="s">
        <v>70</v>
      </c>
      <c r="C6" s="23">
        <f>'Input Values Data'!E60</f>
        <v>2414.7008299079898</v>
      </c>
      <c r="D6" s="74">
        <f>IFERROR(C6/C$8,0)</f>
        <v>6.8835002515995583E-4</v>
      </c>
      <c r="E6" s="146">
        <f>C6</f>
        <v>2414.7008299079898</v>
      </c>
      <c r="F6" s="146">
        <f>E6</f>
        <v>2414.7008299079898</v>
      </c>
      <c r="G6" s="178">
        <f>E6*1.4</f>
        <v>3380.5811618711855</v>
      </c>
      <c r="H6" s="146">
        <f>F6*1.4</f>
        <v>3380.5811618711855</v>
      </c>
    </row>
    <row r="7" spans="2:8" x14ac:dyDescent="0.25">
      <c r="B7" s="39" t="s">
        <v>71</v>
      </c>
      <c r="C7" s="48">
        <f>'Input Values Data'!E61</f>
        <v>939104.89950543537</v>
      </c>
      <c r="D7" s="75">
        <f>IFERROR(C7/C$8,0)</f>
        <v>0.26770723445149769</v>
      </c>
      <c r="E7" s="166">
        <f>C7</f>
        <v>939104.89950543537</v>
      </c>
      <c r="F7" s="166">
        <f>E7</f>
        <v>939104.89950543537</v>
      </c>
      <c r="G7" s="179">
        <f>E7</f>
        <v>939104.89950543537</v>
      </c>
      <c r="H7" s="166">
        <f>F7</f>
        <v>939104.89950543537</v>
      </c>
    </row>
    <row r="8" spans="2:8" ht="15.75" thickBot="1" x14ac:dyDescent="0.3">
      <c r="B8" s="45" t="s">
        <v>87</v>
      </c>
      <c r="C8" s="46">
        <f t="shared" ref="C8:H8" si="0">SUM(C5:C7)</f>
        <v>3507954.88</v>
      </c>
      <c r="D8" s="73">
        <f t="shared" si="0"/>
        <v>1</v>
      </c>
      <c r="E8" s="167">
        <f t="shared" si="0"/>
        <v>3507954.88</v>
      </c>
      <c r="F8" s="167">
        <f t="shared" si="0"/>
        <v>4534528.9918658622</v>
      </c>
      <c r="G8" s="180">
        <f t="shared" si="0"/>
        <v>6075356.0399966203</v>
      </c>
      <c r="H8" s="167">
        <f t="shared" si="0"/>
        <v>6075356.0399966203</v>
      </c>
    </row>
    <row r="9" spans="2:8" ht="15.75" thickTop="1" x14ac:dyDescent="0.25">
      <c r="E9" s="146"/>
      <c r="F9" s="146"/>
      <c r="G9" s="178"/>
      <c r="H9" s="146"/>
    </row>
    <row r="10" spans="2:8" x14ac:dyDescent="0.25">
      <c r="E10" s="146"/>
      <c r="F10" s="146"/>
      <c r="G10" s="178"/>
      <c r="H10" s="146"/>
    </row>
    <row r="11" spans="2:8" x14ac:dyDescent="0.25">
      <c r="B11" s="31"/>
      <c r="C11" s="30"/>
      <c r="D11" s="30"/>
      <c r="E11" s="165" t="s">
        <v>200</v>
      </c>
      <c r="F11" s="30" t="s">
        <v>74</v>
      </c>
      <c r="G11" s="177" t="s">
        <v>75</v>
      </c>
      <c r="H11" s="30" t="s">
        <v>76</v>
      </c>
    </row>
    <row r="12" spans="2:8" ht="15.75" thickBot="1" x14ac:dyDescent="0.3">
      <c r="B12" s="4" t="s">
        <v>86</v>
      </c>
      <c r="E12" s="146">
        <f>C8</f>
        <v>3507954.88</v>
      </c>
      <c r="F12" s="146">
        <f>SUM(F5:F6)</f>
        <v>3595424.0923604267</v>
      </c>
      <c r="G12" s="181">
        <f>SUM(G5:G6)</f>
        <v>5136251.1404911848</v>
      </c>
      <c r="H12" s="146">
        <f>SUM(H5:H7)</f>
        <v>6075356.0399966203</v>
      </c>
    </row>
    <row r="13" spans="2:8" x14ac:dyDescent="0.25">
      <c r="B13" s="1"/>
    </row>
    <row r="14" spans="2:8" x14ac:dyDescent="0.25">
      <c r="B14" s="200" t="s">
        <v>203</v>
      </c>
      <c r="C14" s="200"/>
      <c r="D14" s="200"/>
      <c r="E14" s="200"/>
      <c r="F14" s="200"/>
      <c r="G14" s="200"/>
      <c r="H14" s="4"/>
    </row>
    <row r="15" spans="2:8" x14ac:dyDescent="0.25">
      <c r="B15" s="186"/>
      <c r="C15" s="186"/>
      <c r="D15" s="186"/>
      <c r="E15" s="186"/>
      <c r="F15" s="186"/>
      <c r="G15" s="186"/>
      <c r="H15" s="169"/>
    </row>
    <row r="16" spans="2:8" ht="15" customHeight="1" x14ac:dyDescent="0.25">
      <c r="B16" s="199" t="s">
        <v>201</v>
      </c>
      <c r="C16" s="199"/>
      <c r="D16" s="199"/>
      <c r="E16" s="199"/>
      <c r="F16" s="199"/>
      <c r="G16" s="199"/>
      <c r="H16" s="4"/>
    </row>
    <row r="17" spans="2:8" x14ac:dyDescent="0.25">
      <c r="B17" s="199"/>
      <c r="C17" s="199"/>
      <c r="D17" s="199"/>
      <c r="E17" s="199"/>
      <c r="F17" s="199"/>
      <c r="G17" s="199"/>
      <c r="H17" s="4"/>
    </row>
    <row r="18" spans="2:8" x14ac:dyDescent="0.25">
      <c r="B18" s="199"/>
      <c r="C18" s="199"/>
      <c r="D18" s="199"/>
      <c r="E18" s="199"/>
      <c r="F18" s="199"/>
      <c r="G18" s="199"/>
      <c r="H18" s="4"/>
    </row>
    <row r="19" spans="2:8" x14ac:dyDescent="0.25">
      <c r="B19" s="199"/>
      <c r="C19" s="199"/>
      <c r="D19" s="199"/>
      <c r="E19" s="199"/>
      <c r="F19" s="199"/>
      <c r="G19" s="199"/>
      <c r="H19" s="4"/>
    </row>
    <row r="20" spans="2:8" x14ac:dyDescent="0.25">
      <c r="B20" s="1"/>
    </row>
    <row r="21" spans="2:8" x14ac:dyDescent="0.25">
      <c r="B21" s="1" t="s">
        <v>212</v>
      </c>
    </row>
    <row r="22" spans="2:8" x14ac:dyDescent="0.25">
      <c r="B22" s="1"/>
    </row>
    <row r="23" spans="2:8" x14ac:dyDescent="0.25"/>
    <row r="24" spans="2:8" x14ac:dyDescent="0.25"/>
    <row r="25" spans="2:8" x14ac:dyDescent="0.25"/>
    <row r="26" spans="2:8" x14ac:dyDescent="0.25"/>
    <row r="27" spans="2:8" hidden="1" x14ac:dyDescent="0.25"/>
    <row r="28" spans="2:8" hidden="1" x14ac:dyDescent="0.25"/>
    <row r="29" spans="2:8" hidden="1" x14ac:dyDescent="0.25"/>
    <row r="30" spans="2:8" hidden="1" x14ac:dyDescent="0.25"/>
    <row r="31" spans="2:8" hidden="1" x14ac:dyDescent="0.25"/>
    <row r="32" spans="2: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spans="2:8" hidden="1" x14ac:dyDescent="0.25"/>
    <row r="50" spans="2:8" hidden="1" x14ac:dyDescent="0.25"/>
    <row r="51" spans="2:8" hidden="1" x14ac:dyDescent="0.25"/>
    <row r="52" spans="2:8" hidden="1" x14ac:dyDescent="0.25"/>
    <row r="53" spans="2:8" hidden="1" x14ac:dyDescent="0.25"/>
    <row r="54" spans="2:8" hidden="1" x14ac:dyDescent="0.25">
      <c r="B54" s="4" t="s">
        <v>179</v>
      </c>
      <c r="G54" s="32"/>
      <c r="H54" s="32"/>
    </row>
    <row r="55" spans="2:8" hidden="1" x14ac:dyDescent="0.25">
      <c r="G55" s="32"/>
      <c r="H55" s="32"/>
    </row>
    <row r="56" spans="2:8" hidden="1" x14ac:dyDescent="0.25">
      <c r="G56" s="32"/>
      <c r="H56" s="32"/>
    </row>
    <row r="57" spans="2:8" hidden="1" x14ac:dyDescent="0.25">
      <c r="G57" s="32"/>
      <c r="H57" s="32"/>
    </row>
  </sheetData>
  <mergeCells count="2">
    <mergeCell ref="B14:G14"/>
    <mergeCell ref="B16:G19"/>
  </mergeCells>
  <pageMargins left="0.7" right="0.7" top="0.75" bottom="0.75" header="0.3" footer="0.3"/>
  <pageSetup scale="72" fitToHeight="0" orientation="portrait" r:id="rId1"/>
  <headerFooter>
    <oddHeader>&amp;F</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showGridLines="0" tabSelected="1" zoomScaleNormal="100" zoomScaleSheetLayoutView="85" workbookViewId="0"/>
  </sheetViews>
  <sheetFormatPr defaultColWidth="0" defaultRowHeight="15" zeroHeight="1" x14ac:dyDescent="0.25"/>
  <cols>
    <col min="1" max="1" width="3.5" style="4" customWidth="1"/>
    <col min="2" max="2" width="25.625" style="4" customWidth="1"/>
    <col min="3" max="3" width="17.375" style="6" customWidth="1"/>
    <col min="4" max="4" width="10.125" style="7" customWidth="1"/>
    <col min="5" max="5" width="14.375" style="4" customWidth="1"/>
    <col min="6" max="6" width="9" style="4" customWidth="1"/>
    <col min="7" max="7" width="9" style="4" hidden="1" customWidth="1"/>
    <col min="8" max="16384" width="9" style="4" hidden="1"/>
  </cols>
  <sheetData>
    <row r="1" spans="2:5" x14ac:dyDescent="0.25"/>
    <row r="2" spans="2:5" ht="20.25" thickBot="1" x14ac:dyDescent="0.3">
      <c r="B2" s="24" t="s">
        <v>91</v>
      </c>
      <c r="C2" s="25"/>
      <c r="D2" s="26"/>
      <c r="E2" s="145"/>
    </row>
    <row r="3" spans="2:5" ht="15.75" thickTop="1" x14ac:dyDescent="0.25"/>
    <row r="4" spans="2:5" x14ac:dyDescent="0.25">
      <c r="B4" s="34" t="s">
        <v>94</v>
      </c>
      <c r="C4" s="35"/>
      <c r="D4" s="35"/>
      <c r="E4" s="147" t="s">
        <v>209</v>
      </c>
    </row>
    <row r="5" spans="2:5" x14ac:dyDescent="0.25">
      <c r="B5" s="4" t="str">
        <f>Circulation!B8</f>
        <v>Total Book</v>
      </c>
      <c r="C5" s="6">
        <f>Circulation!C8</f>
        <v>2258672</v>
      </c>
      <c r="E5" s="157">
        <f>Circulation!E8</f>
        <v>39047534.016000003</v>
      </c>
    </row>
    <row r="6" spans="2:5" x14ac:dyDescent="0.25">
      <c r="B6" s="4" t="str">
        <f>Circulation!B14</f>
        <v>Total Audio Book</v>
      </c>
      <c r="C6" s="6">
        <f>Circulation!C14</f>
        <v>82066</v>
      </c>
      <c r="E6" s="157">
        <f>Circulation!E14</f>
        <v>1527532.416</v>
      </c>
    </row>
    <row r="7" spans="2:5" x14ac:dyDescent="0.25">
      <c r="B7" s="4" t="str">
        <f>Circulation!B18</f>
        <v>Total Periodical</v>
      </c>
      <c r="C7" s="6">
        <f>Circulation!C18</f>
        <v>140888</v>
      </c>
      <c r="E7" s="157">
        <f>Circulation!E18</f>
        <v>976353.84000000008</v>
      </c>
    </row>
    <row r="8" spans="2:5" x14ac:dyDescent="0.25">
      <c r="B8" s="4" t="str">
        <f>Circulation!B22</f>
        <v>Total CD</v>
      </c>
      <c r="C8" s="6">
        <f>Circulation!C22</f>
        <v>215294</v>
      </c>
      <c r="E8" s="157">
        <f>Circulation!E22</f>
        <v>2037111.8279999997</v>
      </c>
    </row>
    <row r="9" spans="2:5" x14ac:dyDescent="0.25">
      <c r="B9" s="4" t="str">
        <f>Circulation!B26</f>
        <v>Total DVD</v>
      </c>
      <c r="C9" s="6">
        <f>Circulation!C26</f>
        <v>2200921</v>
      </c>
      <c r="E9" s="157">
        <f>Circulation!E26</f>
        <v>21458979.75</v>
      </c>
    </row>
    <row r="10" spans="2:5" x14ac:dyDescent="0.25">
      <c r="B10" s="4" t="str">
        <f>Circulation!B30</f>
        <v>Total Bluray</v>
      </c>
      <c r="C10" s="6">
        <f>Circulation!C30</f>
        <v>223584</v>
      </c>
      <c r="E10" s="157">
        <f>Circulation!E30</f>
        <v>3183388.9920000001</v>
      </c>
    </row>
    <row r="11" spans="2:5" x14ac:dyDescent="0.25">
      <c r="B11" s="4" t="str">
        <f>Circulation!B35</f>
        <v>Total Video Game</v>
      </c>
      <c r="C11" s="6">
        <f>Circulation!C35</f>
        <v>76835</v>
      </c>
      <c r="E11" s="157">
        <f>Circulation!E35</f>
        <v>2524082.4539999999</v>
      </c>
    </row>
    <row r="12" spans="2:5" x14ac:dyDescent="0.25">
      <c r="B12" s="4" t="str">
        <f>Circulation!B56</f>
        <v>Total In-Library Use</v>
      </c>
      <c r="C12" s="6">
        <f>Circulation!C56</f>
        <v>679380</v>
      </c>
      <c r="E12" s="157">
        <f>Circulation!E56</f>
        <v>648128.52</v>
      </c>
    </row>
    <row r="13" spans="2:5" x14ac:dyDescent="0.25">
      <c r="B13" s="4" t="str">
        <f>Circulation!B64</f>
        <v>Total Holds</v>
      </c>
      <c r="C13" s="6">
        <f>Circulation!C64</f>
        <v>1265400.147209933</v>
      </c>
      <c r="E13" s="157">
        <f>Circulation!E64</f>
        <v>1746252.2031497075</v>
      </c>
    </row>
    <row r="14" spans="2:5" x14ac:dyDescent="0.25">
      <c r="B14" s="4" t="str">
        <f>Circulation!B72</f>
        <v>Total VLS Deliveries</v>
      </c>
      <c r="C14" s="6">
        <f>Circulation!C72</f>
        <v>2928</v>
      </c>
      <c r="E14" s="157">
        <f>Circulation!E72</f>
        <v>4040.6399999999994</v>
      </c>
    </row>
    <row r="15" spans="2:5" x14ac:dyDescent="0.25">
      <c r="B15" s="4" t="str">
        <f>Circulation!B80</f>
        <v>Total Museum Passes</v>
      </c>
      <c r="C15" s="6">
        <f>Circulation!C80</f>
        <v>885</v>
      </c>
      <c r="E15" s="157">
        <f>Circulation!E80</f>
        <v>15045</v>
      </c>
    </row>
    <row r="16" spans="2:5" x14ac:dyDescent="0.25">
      <c r="B16" s="4" t="str">
        <f>Programs!B11</f>
        <v>Total All Programs</v>
      </c>
      <c r="C16" s="6">
        <f>Programs!C11</f>
        <v>181521</v>
      </c>
      <c r="E16" s="157">
        <f>Programs!E11</f>
        <v>5066263.7100000009</v>
      </c>
    </row>
    <row r="17" spans="2:5" x14ac:dyDescent="0.25">
      <c r="B17" s="4" t="str">
        <f>'Digital Technology'!B30</f>
        <v>Total Digital Access</v>
      </c>
      <c r="C17" s="6">
        <f>'Digital Technology'!C30</f>
        <v>3323772.0229641767</v>
      </c>
      <c r="E17" s="157">
        <f>'Digital Technology'!E30</f>
        <v>3326874.92390391</v>
      </c>
    </row>
    <row r="18" spans="2:5" x14ac:dyDescent="0.25">
      <c r="B18" s="4" t="str">
        <f>'Digital Technology'!B31</f>
        <v>Total Makerspace</v>
      </c>
      <c r="C18" s="6">
        <f>'Digital Technology'!C31</f>
        <v>3582</v>
      </c>
      <c r="E18" s="157">
        <f>'Digital Technology'!E31</f>
        <v>25581.075000000001</v>
      </c>
    </row>
    <row r="19" spans="2:5" ht="15.75" thickBot="1" x14ac:dyDescent="0.3">
      <c r="B19" s="42" t="s">
        <v>4</v>
      </c>
      <c r="C19" s="43"/>
      <c r="D19" s="44"/>
      <c r="E19" s="148">
        <f>SUM(E5:E18)</f>
        <v>81587169.36805363</v>
      </c>
    </row>
    <row r="20" spans="2:5" ht="30.75" thickTop="1" x14ac:dyDescent="0.25">
      <c r="B20" s="5" t="s">
        <v>92</v>
      </c>
      <c r="C20" s="6">
        <f>SUM(69+873+32+49)*50</f>
        <v>51150</v>
      </c>
    </row>
    <row r="21" spans="2:5" x14ac:dyDescent="0.25"/>
    <row r="22" spans="2:5" ht="39.75" customHeight="1" x14ac:dyDescent="0.25">
      <c r="B22" s="36" t="s">
        <v>93</v>
      </c>
      <c r="C22" s="37"/>
      <c r="D22" s="38"/>
      <c r="E22" s="149">
        <f>IFERROR(E19/$C20,0)</f>
        <v>1595.0570746442547</v>
      </c>
    </row>
    <row r="23" spans="2:5" x14ac:dyDescent="0.25"/>
    <row r="24" spans="2:5" x14ac:dyDescent="0.25"/>
    <row r="25" spans="2:5" x14ac:dyDescent="0.25">
      <c r="B25" s="4" t="s">
        <v>111</v>
      </c>
    </row>
    <row r="26" spans="2:5" s="175" customFormat="1" x14ac:dyDescent="0.25">
      <c r="B26" s="6" t="s">
        <v>195</v>
      </c>
      <c r="C26" s="6"/>
      <c r="D26" s="7"/>
    </row>
    <row r="27" spans="2:5" x14ac:dyDescent="0.25"/>
    <row r="28" spans="2:5" hidden="1" x14ac:dyDescent="0.25"/>
    <row r="29" spans="2:5" hidden="1" x14ac:dyDescent="0.25"/>
    <row r="30" spans="2:5" hidden="1" x14ac:dyDescent="0.25"/>
    <row r="31" spans="2:5" hidden="1" x14ac:dyDescent="0.25"/>
    <row r="32" spans="2:5"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spans="2:2" hidden="1" x14ac:dyDescent="0.25"/>
    <row r="50" spans="2:2" hidden="1" x14ac:dyDescent="0.25"/>
    <row r="51" spans="2:2" hidden="1" x14ac:dyDescent="0.25"/>
    <row r="52" spans="2:2" hidden="1" x14ac:dyDescent="0.25"/>
    <row r="53" spans="2:2" hidden="1" x14ac:dyDescent="0.25">
      <c r="B53" s="4" t="s">
        <v>179</v>
      </c>
    </row>
    <row r="54" spans="2:2" hidden="1" x14ac:dyDescent="0.25"/>
    <row r="55" spans="2:2" hidden="1" x14ac:dyDescent="0.25"/>
    <row r="56" spans="2:2" hidden="1" x14ac:dyDescent="0.25"/>
  </sheetData>
  <pageMargins left="0.7" right="0.7" top="0.75" bottom="0.75" header="0.3" footer="0.3"/>
  <pageSetup fitToHeight="0" orientation="portrait" r:id="rId1"/>
  <headerFooter>
    <oddHeader>&amp;F</oddHead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showGridLines="0" showRowColHeaders="0" tabSelected="1" zoomScaleNormal="100" zoomScaleSheetLayoutView="100" workbookViewId="0"/>
  </sheetViews>
  <sheetFormatPr defaultColWidth="0" defaultRowHeight="15" zeroHeight="1" x14ac:dyDescent="0.25"/>
  <cols>
    <col min="1" max="1" width="3.5" style="132" customWidth="1"/>
    <col min="2" max="2" width="25.625" style="132" customWidth="1"/>
    <col min="3" max="3" width="17.375" style="6" customWidth="1"/>
    <col min="4" max="4" width="10.125" style="7" customWidth="1"/>
    <col min="5" max="5" width="19.875" style="132" customWidth="1"/>
    <col min="6" max="6" width="9" style="132" customWidth="1"/>
    <col min="7" max="16384" width="9" style="132" hidden="1"/>
  </cols>
  <sheetData>
    <row r="1" spans="2:5" x14ac:dyDescent="0.25"/>
    <row r="2" spans="2:5" ht="20.25" thickBot="1" x14ac:dyDescent="0.3">
      <c r="B2" s="24" t="s">
        <v>214</v>
      </c>
      <c r="C2" s="24"/>
      <c r="D2" s="25"/>
      <c r="E2" s="26"/>
    </row>
    <row r="3" spans="2:5" ht="15.75" thickTop="1" x14ac:dyDescent="0.25"/>
    <row r="4" spans="2:5" ht="31.5" customHeight="1" x14ac:dyDescent="0.25">
      <c r="B4" s="34" t="s">
        <v>94</v>
      </c>
      <c r="C4" s="35"/>
      <c r="D4" s="35"/>
      <c r="E4" s="35" t="s">
        <v>182</v>
      </c>
    </row>
    <row r="5" spans="2:5" x14ac:dyDescent="0.25">
      <c r="B5" s="132" t="s">
        <v>112</v>
      </c>
      <c r="E5" s="146">
        <f>'Summary Sheet'!E25</f>
        <v>98676534.420436606</v>
      </c>
    </row>
    <row r="6" spans="2:5" x14ac:dyDescent="0.25">
      <c r="B6" s="132" t="s">
        <v>113</v>
      </c>
      <c r="E6" s="146">
        <f>'Summary Sheet'!E41</f>
        <v>63179156.48000218</v>
      </c>
    </row>
    <row r="7" spans="2:5" ht="15.75" thickBot="1" x14ac:dyDescent="0.3">
      <c r="B7" s="42" t="s">
        <v>4</v>
      </c>
      <c r="C7" s="43"/>
      <c r="D7" s="44"/>
      <c r="E7" s="148">
        <f>SUM(E5:E6)</f>
        <v>161855690.90043879</v>
      </c>
    </row>
    <row r="8" spans="2:5" ht="15.75" thickTop="1" x14ac:dyDescent="0.25">
      <c r="B8" s="171" t="s">
        <v>205</v>
      </c>
      <c r="E8" s="146">
        <v>28952830</v>
      </c>
    </row>
    <row r="9" spans="2:5" x14ac:dyDescent="0.25"/>
    <row r="10" spans="2:5" ht="39.75" customHeight="1" x14ac:dyDescent="0.25">
      <c r="B10" s="36" t="s">
        <v>114</v>
      </c>
      <c r="C10" s="37"/>
      <c r="D10" s="38"/>
      <c r="E10" s="133">
        <f>IFERROR((E7-E8)/E8,0)</f>
        <v>4.5903236713108457</v>
      </c>
    </row>
    <row r="11" spans="2:5" ht="39.75" customHeight="1" x14ac:dyDescent="0.25">
      <c r="B11" s="36" t="s">
        <v>178</v>
      </c>
      <c r="C11" s="37"/>
      <c r="D11" s="38"/>
      <c r="E11" s="38">
        <f>E7/E8</f>
        <v>5.5903236713108457</v>
      </c>
    </row>
    <row r="12" spans="2:5" x14ac:dyDescent="0.25"/>
    <row r="13" spans="2:5" x14ac:dyDescent="0.25"/>
    <row r="14" spans="2:5" hidden="1" x14ac:dyDescent="0.25"/>
    <row r="15" spans="2:5" hidden="1" x14ac:dyDescent="0.25"/>
    <row r="16" spans="2: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spans="2:2" hidden="1" x14ac:dyDescent="0.25"/>
    <row r="50" spans="2:2" hidden="1" x14ac:dyDescent="0.25">
      <c r="B50" s="132" t="s">
        <v>179</v>
      </c>
    </row>
    <row r="51" spans="2:2" hidden="1" x14ac:dyDescent="0.25"/>
    <row r="52" spans="2:2" hidden="1" x14ac:dyDescent="0.25"/>
    <row r="53" spans="2:2" hidden="1" x14ac:dyDescent="0.25"/>
    <row r="54" spans="2:2" hidden="1" x14ac:dyDescent="0.25"/>
    <row r="55" spans="2:2" hidden="1" x14ac:dyDescent="0.25"/>
    <row r="56" spans="2:2" hidden="1" x14ac:dyDescent="0.25"/>
    <row r="57" spans="2:2" hidden="1" x14ac:dyDescent="0.25"/>
  </sheetData>
  <pageMargins left="0.7" right="0.7" top="0.75" bottom="0.75" header="0.3" footer="0.3"/>
  <pageSetup fitToHeight="0" orientation="portrait" r:id="rId1"/>
  <headerFooter>
    <oddHeader>&amp;F</oddHead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3"/>
  <sheetViews>
    <sheetView showGridLines="0" tabSelected="1" zoomScale="85" zoomScaleNormal="85" zoomScaleSheetLayoutView="85" workbookViewId="0"/>
  </sheetViews>
  <sheetFormatPr defaultColWidth="0" defaultRowHeight="0" customHeight="1" zeroHeight="1" x14ac:dyDescent="0.25"/>
  <cols>
    <col min="1" max="1" width="12.625" style="94" customWidth="1"/>
    <col min="2" max="2" width="28.75" style="118" customWidth="1"/>
    <col min="3" max="5" width="21.875" style="118" customWidth="1"/>
    <col min="6" max="6" width="55.25" style="118" customWidth="1"/>
    <col min="7" max="8" width="10.125" style="118" hidden="1" customWidth="1"/>
    <col min="9" max="10" width="9" style="118" hidden="1" customWidth="1"/>
    <col min="11" max="11" width="11.25" style="118" hidden="1" customWidth="1"/>
    <col min="12" max="16384" width="9" style="118" hidden="1"/>
  </cols>
  <sheetData>
    <row r="1" spans="1:6" ht="18.75" customHeight="1" x14ac:dyDescent="0.25">
      <c r="A1" s="196" t="s">
        <v>206</v>
      </c>
      <c r="B1" s="196"/>
      <c r="C1" s="196"/>
      <c r="D1" s="196"/>
      <c r="E1" s="196"/>
      <c r="F1" s="196"/>
    </row>
    <row r="2" spans="1:6" ht="18.75" customHeight="1" x14ac:dyDescent="0.25">
      <c r="A2" s="196"/>
      <c r="B2" s="196"/>
      <c r="C2" s="196"/>
      <c r="D2" s="196"/>
      <c r="E2" s="196"/>
      <c r="F2" s="196"/>
    </row>
    <row r="3" spans="1:6" s="98" customFormat="1" ht="18.75" customHeight="1" x14ac:dyDescent="0.3">
      <c r="A3" s="96" t="s">
        <v>207</v>
      </c>
      <c r="B3" s="97"/>
      <c r="C3" s="97">
        <v>2014</v>
      </c>
      <c r="D3" s="97">
        <v>2015</v>
      </c>
      <c r="E3" s="97">
        <v>2016</v>
      </c>
      <c r="F3" s="97" t="s">
        <v>0</v>
      </c>
    </row>
    <row r="4" spans="1:6" ht="18.75" customHeight="1" x14ac:dyDescent="0.25">
      <c r="A4" s="194" t="s">
        <v>24</v>
      </c>
      <c r="B4" s="79" t="s">
        <v>138</v>
      </c>
      <c r="C4" s="108">
        <v>1325712</v>
      </c>
      <c r="D4" s="108">
        <v>1291377</v>
      </c>
      <c r="E4" s="100">
        <v>1265061</v>
      </c>
      <c r="F4" s="124" t="s">
        <v>159</v>
      </c>
    </row>
    <row r="5" spans="1:6" ht="18.75" customHeight="1" x14ac:dyDescent="0.25">
      <c r="A5" s="194"/>
      <c r="B5" s="76" t="s">
        <v>137</v>
      </c>
      <c r="C5" s="107">
        <v>141510</v>
      </c>
      <c r="D5" s="107">
        <v>138712</v>
      </c>
      <c r="E5" s="101">
        <v>124846</v>
      </c>
      <c r="F5" s="127" t="s">
        <v>159</v>
      </c>
    </row>
    <row r="6" spans="1:6" ht="18.75" customHeight="1" x14ac:dyDescent="0.25">
      <c r="A6" s="194"/>
      <c r="B6" s="79" t="s">
        <v>136</v>
      </c>
      <c r="C6" s="108">
        <v>858429</v>
      </c>
      <c r="D6" s="108">
        <v>860691</v>
      </c>
      <c r="E6" s="100">
        <v>868765</v>
      </c>
      <c r="F6" s="124" t="s">
        <v>159</v>
      </c>
    </row>
    <row r="7" spans="1:6" ht="18.75" customHeight="1" x14ac:dyDescent="0.25">
      <c r="A7" s="194"/>
      <c r="B7" s="76" t="s">
        <v>135</v>
      </c>
      <c r="C7" s="107">
        <v>70210</v>
      </c>
      <c r="D7" s="107">
        <v>71282</v>
      </c>
      <c r="E7" s="101">
        <v>72021</v>
      </c>
      <c r="F7" s="127" t="s">
        <v>159</v>
      </c>
    </row>
    <row r="8" spans="1:6" ht="18.75" customHeight="1" x14ac:dyDescent="0.25">
      <c r="A8" s="194"/>
      <c r="B8" s="79" t="s">
        <v>134</v>
      </c>
      <c r="C8" s="108">
        <v>9013</v>
      </c>
      <c r="D8" s="108">
        <v>9771</v>
      </c>
      <c r="E8" s="100">
        <v>10045</v>
      </c>
      <c r="F8" s="124" t="s">
        <v>159</v>
      </c>
    </row>
    <row r="9" spans="1:6" ht="18.75" customHeight="1" x14ac:dyDescent="0.25">
      <c r="A9" s="194"/>
      <c r="B9" s="76" t="s">
        <v>153</v>
      </c>
      <c r="C9" s="107">
        <v>1211</v>
      </c>
      <c r="D9" s="107">
        <v>1074</v>
      </c>
      <c r="E9" s="101">
        <v>1091</v>
      </c>
      <c r="F9" s="127" t="s">
        <v>159</v>
      </c>
    </row>
    <row r="10" spans="1:6" ht="18.75" customHeight="1" x14ac:dyDescent="0.25">
      <c r="A10" s="194"/>
      <c r="B10" s="79" t="s">
        <v>15</v>
      </c>
      <c r="C10" s="108">
        <v>170362</v>
      </c>
      <c r="D10" s="108">
        <v>163218</v>
      </c>
      <c r="E10" s="100">
        <v>140888</v>
      </c>
      <c r="F10" s="124" t="s">
        <v>159</v>
      </c>
    </row>
    <row r="11" spans="1:6" ht="18.75" customHeight="1" x14ac:dyDescent="0.25">
      <c r="A11" s="194"/>
      <c r="B11" s="76" t="s">
        <v>17</v>
      </c>
      <c r="C11" s="107">
        <v>253352</v>
      </c>
      <c r="D11" s="107">
        <v>242284</v>
      </c>
      <c r="E11" s="101">
        <v>215294</v>
      </c>
      <c r="F11" s="127" t="s">
        <v>159</v>
      </c>
    </row>
    <row r="12" spans="1:6" ht="18.75" customHeight="1" x14ac:dyDescent="0.25">
      <c r="A12" s="194"/>
      <c r="B12" s="79" t="s">
        <v>18</v>
      </c>
      <c r="C12" s="108">
        <v>2564929</v>
      </c>
      <c r="D12" s="108">
        <v>2380726</v>
      </c>
      <c r="E12" s="100">
        <v>2200921</v>
      </c>
      <c r="F12" s="124" t="s">
        <v>159</v>
      </c>
    </row>
    <row r="13" spans="1:6" ht="18.75" customHeight="1" x14ac:dyDescent="0.25">
      <c r="A13" s="194"/>
      <c r="B13" s="76" t="s">
        <v>97</v>
      </c>
      <c r="C13" s="107">
        <v>228797</v>
      </c>
      <c r="D13" s="107">
        <v>240855</v>
      </c>
      <c r="E13" s="101">
        <v>223584</v>
      </c>
      <c r="F13" s="127" t="s">
        <v>159</v>
      </c>
    </row>
    <row r="14" spans="1:6" ht="18.75" customHeight="1" x14ac:dyDescent="0.25">
      <c r="A14" s="194"/>
      <c r="B14" s="79" t="s">
        <v>133</v>
      </c>
      <c r="C14" s="108">
        <v>35622</v>
      </c>
      <c r="D14" s="108">
        <v>37635</v>
      </c>
      <c r="E14" s="100">
        <v>33786</v>
      </c>
      <c r="F14" s="124" t="s">
        <v>159</v>
      </c>
    </row>
    <row r="15" spans="1:6" ht="18.75" customHeight="1" x14ac:dyDescent="0.25">
      <c r="A15" s="194"/>
      <c r="B15" s="76" t="s">
        <v>132</v>
      </c>
      <c r="C15" s="107">
        <v>45791</v>
      </c>
      <c r="D15" s="107">
        <v>44278</v>
      </c>
      <c r="E15" s="101">
        <v>43049</v>
      </c>
      <c r="F15" s="127" t="s">
        <v>159</v>
      </c>
    </row>
    <row r="16" spans="1:6" ht="18.75" customHeight="1" x14ac:dyDescent="0.25">
      <c r="A16" s="194"/>
      <c r="B16" s="79" t="s">
        <v>21</v>
      </c>
      <c r="C16" s="108">
        <f>417797+210495+116</f>
        <v>628408</v>
      </c>
      <c r="D16" s="108">
        <f>486906+1569+106909</f>
        <v>595384</v>
      </c>
      <c r="E16" s="100">
        <f>6485+59676+485266</f>
        <v>551427</v>
      </c>
      <c r="F16" s="124" t="s">
        <v>160</v>
      </c>
    </row>
    <row r="17" spans="1:6" ht="18.75" customHeight="1" x14ac:dyDescent="0.25">
      <c r="A17" s="194"/>
      <c r="B17" s="76" t="s">
        <v>149</v>
      </c>
      <c r="C17" s="107">
        <f>71063+3484</f>
        <v>74547</v>
      </c>
      <c r="D17" s="107">
        <f>97690+4871</f>
        <v>102561</v>
      </c>
      <c r="E17" s="101">
        <f>7644+116534</f>
        <v>124178</v>
      </c>
      <c r="F17" s="127" t="s">
        <v>160</v>
      </c>
    </row>
    <row r="18" spans="1:6" ht="18.75" customHeight="1" x14ac:dyDescent="0.25">
      <c r="A18" s="194"/>
      <c r="B18" s="79" t="s">
        <v>150</v>
      </c>
      <c r="C18" s="108">
        <v>10180</v>
      </c>
      <c r="D18" s="108">
        <f>377988+10886</f>
        <v>388874</v>
      </c>
      <c r="E18" s="100">
        <f>9953+424598</f>
        <v>434551</v>
      </c>
      <c r="F18" s="124" t="s">
        <v>160</v>
      </c>
    </row>
    <row r="19" spans="1:6" ht="18.75" customHeight="1" x14ac:dyDescent="0.25">
      <c r="A19" s="194"/>
      <c r="B19" s="76" t="s">
        <v>151</v>
      </c>
      <c r="C19" s="107">
        <f>58837</f>
        <v>58837</v>
      </c>
      <c r="D19" s="107">
        <f>88076</f>
        <v>88076</v>
      </c>
      <c r="E19" s="101">
        <f>78642</f>
        <v>78642</v>
      </c>
      <c r="F19" s="127" t="s">
        <v>160</v>
      </c>
    </row>
    <row r="20" spans="1:6" ht="18.75" customHeight="1" x14ac:dyDescent="0.25">
      <c r="A20" s="194"/>
      <c r="B20" s="79" t="s">
        <v>152</v>
      </c>
      <c r="C20" s="108">
        <v>19221</v>
      </c>
      <c r="D20" s="108">
        <v>22012</v>
      </c>
      <c r="E20" s="100">
        <v>21075</v>
      </c>
      <c r="F20" s="124" t="s">
        <v>160</v>
      </c>
    </row>
    <row r="21" spans="1:6" ht="18.75" customHeight="1" x14ac:dyDescent="0.25">
      <c r="A21" s="194"/>
      <c r="B21" s="76" t="s">
        <v>22</v>
      </c>
      <c r="C21" s="107">
        <f>91646+61400</f>
        <v>153046</v>
      </c>
      <c r="D21" s="107">
        <f>92120+77471</f>
        <v>169591</v>
      </c>
      <c r="E21" s="101">
        <f>101487+81146</f>
        <v>182633</v>
      </c>
      <c r="F21" s="127" t="s">
        <v>160</v>
      </c>
    </row>
    <row r="22" spans="1:6" ht="18.75" customHeight="1" thickBot="1" x14ac:dyDescent="0.3">
      <c r="A22" s="195"/>
      <c r="B22" s="91" t="s">
        <v>23</v>
      </c>
      <c r="C22" s="112">
        <v>0</v>
      </c>
      <c r="D22" s="112">
        <f>6318+3291</f>
        <v>9609</v>
      </c>
      <c r="E22" s="104">
        <f>5708+51695</f>
        <v>57403</v>
      </c>
      <c r="F22" s="123" t="s">
        <v>160</v>
      </c>
    </row>
    <row r="23" spans="1:6" ht="18.75" customHeight="1" thickTop="1" x14ac:dyDescent="0.25">
      <c r="A23" s="188" t="s">
        <v>148</v>
      </c>
      <c r="B23" s="125" t="s">
        <v>28</v>
      </c>
      <c r="C23" s="109">
        <v>793156</v>
      </c>
      <c r="D23" s="109">
        <v>586820</v>
      </c>
      <c r="E23" s="102">
        <v>679380</v>
      </c>
      <c r="F23" s="125" t="s">
        <v>161</v>
      </c>
    </row>
    <row r="24" spans="1:6" ht="18.75" customHeight="1" x14ac:dyDescent="0.25">
      <c r="A24" s="189"/>
      <c r="B24" s="89" t="s">
        <v>147</v>
      </c>
      <c r="C24" s="117">
        <v>452129.93139211339</v>
      </c>
      <c r="D24" s="110">
        <v>330806.9090615423</v>
      </c>
      <c r="E24" s="129">
        <v>0.56009061962073292</v>
      </c>
      <c r="F24" s="124" t="s">
        <v>161</v>
      </c>
    </row>
    <row r="25" spans="1:6" ht="18.75" customHeight="1" x14ac:dyDescent="0.25">
      <c r="A25" s="189"/>
      <c r="B25" s="90" t="s">
        <v>146</v>
      </c>
      <c r="C25" s="111">
        <v>48261.542922820321</v>
      </c>
      <c r="D25" s="111">
        <v>35533.301251102246</v>
      </c>
      <c r="E25" s="130">
        <v>5.5274072552367055E-2</v>
      </c>
      <c r="F25" s="127" t="s">
        <v>161</v>
      </c>
    </row>
    <row r="26" spans="1:6" ht="18.75" customHeight="1" thickBot="1" x14ac:dyDescent="0.3">
      <c r="A26" s="190"/>
      <c r="B26" s="91" t="s">
        <v>145</v>
      </c>
      <c r="C26" s="112">
        <v>292764.52568506624</v>
      </c>
      <c r="D26" s="112">
        <v>220479.7896873554</v>
      </c>
      <c r="E26" s="131">
        <v>0.38463530782690003</v>
      </c>
      <c r="F26" s="123" t="s">
        <v>161</v>
      </c>
    </row>
    <row r="27" spans="1:6" ht="18.75" customHeight="1" thickTop="1" x14ac:dyDescent="0.25">
      <c r="A27" s="188" t="s">
        <v>130</v>
      </c>
      <c r="B27" s="92" t="s">
        <v>105</v>
      </c>
      <c r="C27" s="109">
        <v>1412888</v>
      </c>
      <c r="D27" s="109">
        <v>1333492.8678253405</v>
      </c>
      <c r="E27" s="102">
        <v>1265400.147209933</v>
      </c>
      <c r="F27" s="125" t="s">
        <v>159</v>
      </c>
    </row>
    <row r="28" spans="1:6" ht="18.75" customHeight="1" x14ac:dyDescent="0.25">
      <c r="A28" s="189"/>
      <c r="B28" s="89" t="s">
        <v>32</v>
      </c>
      <c r="C28" s="110">
        <v>2835</v>
      </c>
      <c r="D28" s="110">
        <v>3036</v>
      </c>
      <c r="E28" s="103">
        <v>2928</v>
      </c>
      <c r="F28" s="124" t="s">
        <v>159</v>
      </c>
    </row>
    <row r="29" spans="1:6" ht="18.75" customHeight="1" thickBot="1" x14ac:dyDescent="0.3">
      <c r="A29" s="190"/>
      <c r="B29" s="135" t="s">
        <v>5</v>
      </c>
      <c r="C29" s="113">
        <v>1095</v>
      </c>
      <c r="D29" s="113">
        <v>948</v>
      </c>
      <c r="E29" s="105">
        <v>885</v>
      </c>
      <c r="F29" s="126" t="s">
        <v>159</v>
      </c>
    </row>
    <row r="30" spans="1:6" ht="18.75" customHeight="1" thickTop="1" x14ac:dyDescent="0.25">
      <c r="A30" s="188" t="s">
        <v>3</v>
      </c>
      <c r="B30" s="79" t="s">
        <v>50</v>
      </c>
      <c r="C30" s="108">
        <v>32754</v>
      </c>
      <c r="D30" s="108">
        <v>43495</v>
      </c>
      <c r="E30" s="100">
        <v>48967</v>
      </c>
      <c r="F30" s="124" t="s">
        <v>162</v>
      </c>
    </row>
    <row r="31" spans="1:6" ht="18.75" customHeight="1" x14ac:dyDescent="0.25">
      <c r="A31" s="189"/>
      <c r="B31" s="76" t="s">
        <v>51</v>
      </c>
      <c r="C31" s="107">
        <v>69457</v>
      </c>
      <c r="D31" s="107">
        <v>83781</v>
      </c>
      <c r="E31" s="101">
        <v>78116</v>
      </c>
      <c r="F31" s="127" t="s">
        <v>162</v>
      </c>
    </row>
    <row r="32" spans="1:6" ht="18.75" customHeight="1" x14ac:dyDescent="0.25">
      <c r="A32" s="189"/>
      <c r="B32" s="79" t="s">
        <v>12</v>
      </c>
      <c r="C32" s="108">
        <v>7170</v>
      </c>
      <c r="D32" s="108">
        <v>4262</v>
      </c>
      <c r="E32" s="100">
        <v>4857</v>
      </c>
      <c r="F32" s="124" t="s">
        <v>162</v>
      </c>
    </row>
    <row r="33" spans="1:9" ht="18.75" customHeight="1" x14ac:dyDescent="0.25">
      <c r="A33" s="189"/>
      <c r="B33" s="76" t="s">
        <v>11</v>
      </c>
      <c r="C33" s="107">
        <v>43990</v>
      </c>
      <c r="D33" s="107">
        <v>40544</v>
      </c>
      <c r="E33" s="101">
        <v>46410</v>
      </c>
      <c r="F33" s="127" t="s">
        <v>162</v>
      </c>
      <c r="H33" s="140"/>
    </row>
    <row r="34" spans="1:9" ht="18.75" customHeight="1" x14ac:dyDescent="0.25">
      <c r="A34" s="189"/>
      <c r="B34" s="79" t="s">
        <v>52</v>
      </c>
      <c r="C34" s="108"/>
      <c r="D34" s="108">
        <v>392</v>
      </c>
      <c r="E34" s="100">
        <v>502</v>
      </c>
      <c r="F34" s="124" t="s">
        <v>162</v>
      </c>
      <c r="I34" s="139"/>
    </row>
    <row r="35" spans="1:9" ht="18.75" customHeight="1" thickBot="1" x14ac:dyDescent="0.3">
      <c r="A35" s="190"/>
      <c r="B35" s="77" t="s">
        <v>54</v>
      </c>
      <c r="C35" s="114">
        <v>7976</v>
      </c>
      <c r="D35" s="114">
        <v>2208</v>
      </c>
      <c r="E35" s="106">
        <v>2669</v>
      </c>
      <c r="F35" s="126" t="s">
        <v>162</v>
      </c>
    </row>
    <row r="36" spans="1:9" ht="18.75" customHeight="1" thickTop="1" x14ac:dyDescent="0.25">
      <c r="A36" s="191" t="s">
        <v>55</v>
      </c>
      <c r="B36" s="79" t="s">
        <v>57</v>
      </c>
      <c r="C36" s="108">
        <v>276700</v>
      </c>
      <c r="D36" s="108">
        <v>265927.3624565893</v>
      </c>
      <c r="E36" s="100">
        <v>260500</v>
      </c>
      <c r="F36" s="124" t="s">
        <v>161</v>
      </c>
    </row>
    <row r="37" spans="1:9" ht="18.75" customHeight="1" x14ac:dyDescent="0.25">
      <c r="A37" s="192"/>
      <c r="B37" s="76" t="s">
        <v>58</v>
      </c>
      <c r="C37" s="107">
        <f>8142*50</f>
        <v>407100</v>
      </c>
      <c r="D37" s="107">
        <f>5083*50</f>
        <v>254150</v>
      </c>
      <c r="E37" s="101">
        <f>5084*50</f>
        <v>254200</v>
      </c>
      <c r="F37" s="127" t="s">
        <v>163</v>
      </c>
    </row>
    <row r="38" spans="1:9" ht="18.75" customHeight="1" thickBot="1" x14ac:dyDescent="0.3">
      <c r="A38" s="193"/>
      <c r="B38" s="91" t="s">
        <v>190</v>
      </c>
      <c r="C38" s="121"/>
      <c r="D38" s="121"/>
      <c r="E38" s="159">
        <v>2278</v>
      </c>
      <c r="F38" s="123" t="s">
        <v>194</v>
      </c>
    </row>
    <row r="39" spans="1:9" ht="18.75" customHeight="1" thickTop="1" x14ac:dyDescent="0.25">
      <c r="A39" s="188" t="s">
        <v>48</v>
      </c>
      <c r="B39" s="79" t="s">
        <v>39</v>
      </c>
      <c r="C39" s="108">
        <v>788333</v>
      </c>
      <c r="D39" s="108">
        <v>795397</v>
      </c>
      <c r="E39" s="100">
        <v>806925</v>
      </c>
      <c r="F39" s="124" t="s">
        <v>162</v>
      </c>
    </row>
    <row r="40" spans="1:9" ht="18.75" customHeight="1" x14ac:dyDescent="0.25">
      <c r="A40" s="189"/>
      <c r="B40" s="76" t="s">
        <v>41</v>
      </c>
      <c r="C40" s="107">
        <v>542450</v>
      </c>
      <c r="D40" s="107">
        <v>814440</v>
      </c>
      <c r="E40" s="101">
        <v>1149739</v>
      </c>
      <c r="F40" s="127" t="s">
        <v>162</v>
      </c>
    </row>
    <row r="41" spans="1:9" ht="18.75" customHeight="1" x14ac:dyDescent="0.25">
      <c r="A41" s="189"/>
      <c r="B41" s="79" t="s">
        <v>65</v>
      </c>
      <c r="C41" s="108">
        <v>248131</v>
      </c>
      <c r="D41" s="108">
        <v>279687</v>
      </c>
      <c r="E41" s="100">
        <v>237560</v>
      </c>
      <c r="F41" s="124" t="s">
        <v>162</v>
      </c>
    </row>
    <row r="42" spans="1:9" ht="18.75" customHeight="1" thickBot="1" x14ac:dyDescent="0.3">
      <c r="A42" s="190"/>
      <c r="B42" s="77" t="s">
        <v>193</v>
      </c>
      <c r="C42" s="114">
        <f>0.982438643*C40</f>
        <v>532923.84189535002</v>
      </c>
      <c r="D42" s="114">
        <f>0.982438643*D40</f>
        <v>800137.32840491994</v>
      </c>
      <c r="E42" s="106">
        <f>0.982438643*E40</f>
        <v>1129548.022964177</v>
      </c>
      <c r="F42" s="126" t="s">
        <v>199</v>
      </c>
    </row>
    <row r="43" spans="1:9" ht="18.75" customHeight="1" thickTop="1" x14ac:dyDescent="0.25">
      <c r="A43" s="188" t="s">
        <v>129</v>
      </c>
      <c r="B43" s="79" t="s">
        <v>42</v>
      </c>
      <c r="C43" s="108"/>
      <c r="D43" s="108"/>
      <c r="E43" s="100">
        <v>569</v>
      </c>
      <c r="F43" s="124" t="s">
        <v>158</v>
      </c>
    </row>
    <row r="44" spans="1:9" ht="18.75" customHeight="1" x14ac:dyDescent="0.25">
      <c r="A44" s="189"/>
      <c r="B44" s="76" t="s">
        <v>43</v>
      </c>
      <c r="C44" s="107"/>
      <c r="D44" s="107"/>
      <c r="E44" s="101">
        <v>357</v>
      </c>
      <c r="F44" s="127" t="s">
        <v>158</v>
      </c>
    </row>
    <row r="45" spans="1:9" ht="18.75" customHeight="1" x14ac:dyDescent="0.25">
      <c r="A45" s="189"/>
      <c r="B45" s="79" t="s">
        <v>155</v>
      </c>
      <c r="C45" s="108"/>
      <c r="D45" s="108"/>
      <c r="E45" s="100">
        <v>160</v>
      </c>
      <c r="F45" s="124" t="s">
        <v>158</v>
      </c>
    </row>
    <row r="46" spans="1:9" ht="18.75" customHeight="1" x14ac:dyDescent="0.25">
      <c r="A46" s="189"/>
      <c r="B46" s="76" t="s">
        <v>44</v>
      </c>
      <c r="C46" s="107"/>
      <c r="D46" s="107"/>
      <c r="E46" s="101">
        <v>858</v>
      </c>
      <c r="F46" s="127" t="s">
        <v>158</v>
      </c>
    </row>
    <row r="47" spans="1:9" ht="18.75" customHeight="1" x14ac:dyDescent="0.25">
      <c r="A47" s="189"/>
      <c r="B47" s="79" t="s">
        <v>45</v>
      </c>
      <c r="C47" s="108"/>
      <c r="D47" s="108"/>
      <c r="E47" s="100">
        <v>1165</v>
      </c>
      <c r="F47" s="124" t="s">
        <v>158</v>
      </c>
    </row>
    <row r="48" spans="1:9" ht="18.75" customHeight="1" x14ac:dyDescent="0.25">
      <c r="A48" s="189"/>
      <c r="B48" s="76" t="s">
        <v>46</v>
      </c>
      <c r="C48" s="107"/>
      <c r="D48" s="107"/>
      <c r="E48" s="101">
        <v>110</v>
      </c>
      <c r="F48" s="127" t="s">
        <v>158</v>
      </c>
    </row>
    <row r="49" spans="1:7" ht="18.75" customHeight="1" x14ac:dyDescent="0.25">
      <c r="A49" s="189"/>
      <c r="B49" s="79" t="s">
        <v>157</v>
      </c>
      <c r="C49" s="108"/>
      <c r="D49" s="108"/>
      <c r="E49" s="100">
        <v>111</v>
      </c>
      <c r="F49" s="124" t="s">
        <v>158</v>
      </c>
    </row>
    <row r="50" spans="1:7" ht="18.75" customHeight="1" thickBot="1" x14ac:dyDescent="0.3">
      <c r="A50" s="189"/>
      <c r="B50" s="77" t="s">
        <v>156</v>
      </c>
      <c r="C50" s="114"/>
      <c r="D50" s="114"/>
      <c r="E50" s="106">
        <v>252</v>
      </c>
      <c r="F50" s="126" t="s">
        <v>158</v>
      </c>
    </row>
    <row r="51" spans="1:7" ht="18.75" customHeight="1" thickTop="1" x14ac:dyDescent="0.25">
      <c r="A51" s="188" t="s">
        <v>144</v>
      </c>
      <c r="B51" s="79" t="s">
        <v>69</v>
      </c>
      <c r="C51" s="120">
        <v>2642214.1099999691</v>
      </c>
      <c r="D51" s="120">
        <v>2427588.6999999695</v>
      </c>
      <c r="E51" s="83">
        <v>5328804.9786721533</v>
      </c>
      <c r="F51" s="124" t="s">
        <v>197</v>
      </c>
    </row>
    <row r="52" spans="1:7" ht="18.75" customHeight="1" x14ac:dyDescent="0.25">
      <c r="A52" s="189"/>
      <c r="B52" s="156" t="s">
        <v>70</v>
      </c>
      <c r="C52" s="116">
        <v>265312.74999999977</v>
      </c>
      <c r="D52" s="116">
        <v>266141.08000000037</v>
      </c>
      <c r="E52" s="84">
        <v>546059.59366113984</v>
      </c>
      <c r="F52" s="127" t="s">
        <v>197</v>
      </c>
      <c r="G52" s="136"/>
    </row>
    <row r="53" spans="1:7" ht="18.75" customHeight="1" thickBot="1" x14ac:dyDescent="0.3">
      <c r="A53" s="190"/>
      <c r="B53" s="81" t="s">
        <v>71</v>
      </c>
      <c r="C53" s="121">
        <v>220807.78000000142</v>
      </c>
      <c r="D53" s="121">
        <v>266882.34999999846</v>
      </c>
      <c r="E53" s="85">
        <v>629840.51766670682</v>
      </c>
      <c r="F53" s="123" t="s">
        <v>197</v>
      </c>
      <c r="G53" s="136"/>
    </row>
    <row r="54" spans="1:7" ht="18.75" customHeight="1" thickTop="1" x14ac:dyDescent="0.25">
      <c r="A54" s="188" t="s">
        <v>143</v>
      </c>
      <c r="B54" s="76" t="s">
        <v>78</v>
      </c>
      <c r="C54" s="107">
        <f>19648354-C55</f>
        <v>19648354</v>
      </c>
      <c r="D54" s="107">
        <f>19788054-D55</f>
        <v>19788054</v>
      </c>
      <c r="E54" s="101">
        <f>20015447-E55</f>
        <v>19599296.501600001</v>
      </c>
      <c r="F54" s="127" t="s">
        <v>197</v>
      </c>
      <c r="G54" s="136"/>
    </row>
    <row r="55" spans="1:7" ht="18.75" customHeight="1" thickBot="1" x14ac:dyDescent="0.3">
      <c r="A55" s="190"/>
      <c r="B55" s="81" t="s">
        <v>79</v>
      </c>
      <c r="C55" s="115"/>
      <c r="D55" s="115"/>
      <c r="E55" s="85">
        <v>416150.49839999987</v>
      </c>
      <c r="F55" s="123" t="s">
        <v>197</v>
      </c>
    </row>
    <row r="56" spans="1:7" ht="18.75" customHeight="1" thickTop="1" x14ac:dyDescent="0.25">
      <c r="A56" s="188" t="s">
        <v>142</v>
      </c>
      <c r="B56" s="76" t="s">
        <v>69</v>
      </c>
      <c r="C56" s="116">
        <v>3486769.3800000004</v>
      </c>
      <c r="D56" s="116">
        <v>4318197.2700000005</v>
      </c>
      <c r="E56" s="84">
        <v>1679518.2599999995</v>
      </c>
      <c r="F56" s="124" t="s">
        <v>198</v>
      </c>
    </row>
    <row r="57" spans="1:7" ht="18.75" customHeight="1" x14ac:dyDescent="0.25">
      <c r="A57" s="189"/>
      <c r="B57" s="79" t="s">
        <v>70</v>
      </c>
      <c r="C57" s="120">
        <v>14966.89</v>
      </c>
      <c r="D57" s="120">
        <v>5149.0600000000004</v>
      </c>
      <c r="E57" s="83">
        <v>29434.92</v>
      </c>
      <c r="F57" s="127" t="s">
        <v>198</v>
      </c>
    </row>
    <row r="58" spans="1:7" ht="18.75" customHeight="1" thickBot="1" x14ac:dyDescent="0.3">
      <c r="A58" s="190"/>
      <c r="B58" s="77" t="s">
        <v>71</v>
      </c>
      <c r="C58" s="122">
        <v>387442.61</v>
      </c>
      <c r="D58" s="122">
        <v>211244.93000000005</v>
      </c>
      <c r="E58" s="95">
        <v>264119.96999999997</v>
      </c>
      <c r="F58" s="123" t="s">
        <v>198</v>
      </c>
    </row>
    <row r="59" spans="1:7" ht="18.75" customHeight="1" thickTop="1" x14ac:dyDescent="0.25">
      <c r="A59" s="188" t="s">
        <v>141</v>
      </c>
      <c r="B59" s="79" t="s">
        <v>69</v>
      </c>
      <c r="C59" s="120">
        <v>3158835.8200000017</v>
      </c>
      <c r="D59" s="120">
        <v>2510105.3699999992</v>
      </c>
      <c r="E59" s="83">
        <v>2566435.2796646566</v>
      </c>
      <c r="F59" s="124" t="s">
        <v>197</v>
      </c>
    </row>
    <row r="60" spans="1:7" ht="18.75" customHeight="1" x14ac:dyDescent="0.25">
      <c r="A60" s="189"/>
      <c r="B60" s="76" t="s">
        <v>70</v>
      </c>
      <c r="C60" s="116">
        <v>4012.2999999999997</v>
      </c>
      <c r="D60" s="116">
        <v>3671.28</v>
      </c>
      <c r="E60" s="84">
        <v>2414.7008299079898</v>
      </c>
      <c r="F60" s="127" t="s">
        <v>197</v>
      </c>
    </row>
    <row r="61" spans="1:7" ht="18.75" customHeight="1" thickBot="1" x14ac:dyDescent="0.3">
      <c r="A61" s="190"/>
      <c r="B61" s="81" t="s">
        <v>71</v>
      </c>
      <c r="C61" s="121">
        <v>896502.86999999988</v>
      </c>
      <c r="D61" s="121">
        <v>1046385.1199999999</v>
      </c>
      <c r="E61" s="85">
        <v>939104.89950543537</v>
      </c>
      <c r="F61" s="123" t="s">
        <v>197</v>
      </c>
    </row>
    <row r="62" spans="1:7" ht="18.75" customHeight="1" thickTop="1" x14ac:dyDescent="0.25">
      <c r="A62" s="138"/>
      <c r="B62" s="76"/>
      <c r="C62" s="78"/>
      <c r="D62" s="78"/>
      <c r="E62" s="107"/>
      <c r="F62" s="137"/>
    </row>
    <row r="63" spans="1:7" s="136" customFormat="1" ht="18.75" customHeight="1" x14ac:dyDescent="0.25">
      <c r="A63" s="96" t="s">
        <v>208</v>
      </c>
      <c r="B63" s="97"/>
      <c r="C63" s="97"/>
      <c r="D63" s="97"/>
      <c r="E63" s="97" t="s">
        <v>140</v>
      </c>
      <c r="F63" s="97" t="s">
        <v>139</v>
      </c>
    </row>
    <row r="64" spans="1:7" s="99" customFormat="1" ht="18.75" customHeight="1" x14ac:dyDescent="0.3">
      <c r="A64" s="194" t="s">
        <v>24</v>
      </c>
      <c r="B64" s="76" t="s">
        <v>138</v>
      </c>
      <c r="C64" s="78"/>
      <c r="D64" s="78"/>
      <c r="E64" s="84">
        <v>40.67</v>
      </c>
      <c r="F64" s="127" t="s">
        <v>164</v>
      </c>
    </row>
    <row r="65" spans="1:6" s="99" customFormat="1" ht="18.75" customHeight="1" x14ac:dyDescent="0.3">
      <c r="A65" s="194"/>
      <c r="B65" s="79" t="s">
        <v>137</v>
      </c>
      <c r="C65" s="80"/>
      <c r="D65" s="80"/>
      <c r="E65" s="83">
        <f>(E66+E64)/2</f>
        <v>26.29</v>
      </c>
      <c r="F65" s="124" t="s">
        <v>164</v>
      </c>
    </row>
    <row r="66" spans="1:6" ht="18.75" customHeight="1" x14ac:dyDescent="0.25">
      <c r="A66" s="194"/>
      <c r="B66" s="76" t="s">
        <v>136</v>
      </c>
      <c r="C66" s="78"/>
      <c r="D66" s="78"/>
      <c r="E66" s="84">
        <v>11.91</v>
      </c>
      <c r="F66" s="127" t="s">
        <v>164</v>
      </c>
    </row>
    <row r="67" spans="1:6" ht="18.75" customHeight="1" x14ac:dyDescent="0.25">
      <c r="A67" s="194"/>
      <c r="B67" s="79" t="s">
        <v>135</v>
      </c>
      <c r="C67" s="80"/>
      <c r="D67" s="80"/>
      <c r="E67" s="83">
        <v>31.36</v>
      </c>
      <c r="F67" s="124" t="s">
        <v>164</v>
      </c>
    </row>
    <row r="68" spans="1:6" ht="18.75" customHeight="1" x14ac:dyDescent="0.25">
      <c r="A68" s="194"/>
      <c r="B68" s="76" t="s">
        <v>134</v>
      </c>
      <c r="C68" s="78"/>
      <c r="D68" s="78"/>
      <c r="E68" s="84">
        <v>25.8</v>
      </c>
      <c r="F68" s="127" t="s">
        <v>164</v>
      </c>
    </row>
    <row r="69" spans="1:6" ht="18.75" customHeight="1" x14ac:dyDescent="0.25">
      <c r="A69" s="194"/>
      <c r="B69" s="79" t="s">
        <v>183</v>
      </c>
      <c r="C69" s="80"/>
      <c r="D69" s="80"/>
      <c r="E69" s="83">
        <v>25.8</v>
      </c>
      <c r="F69" s="124" t="s">
        <v>164</v>
      </c>
    </row>
    <row r="70" spans="1:6" ht="18.75" customHeight="1" x14ac:dyDescent="0.25">
      <c r="A70" s="194"/>
      <c r="B70" s="76" t="s">
        <v>15</v>
      </c>
      <c r="C70" s="78"/>
      <c r="D70" s="78"/>
      <c r="E70" s="84">
        <v>11.55</v>
      </c>
      <c r="F70" s="127" t="s">
        <v>196</v>
      </c>
    </row>
    <row r="71" spans="1:6" ht="18.75" customHeight="1" x14ac:dyDescent="0.25">
      <c r="A71" s="194"/>
      <c r="B71" s="79" t="s">
        <v>17</v>
      </c>
      <c r="C71" s="80"/>
      <c r="D71" s="80"/>
      <c r="E71" s="83">
        <v>15.77</v>
      </c>
      <c r="F71" s="124" t="s">
        <v>165</v>
      </c>
    </row>
    <row r="72" spans="1:6" ht="18.75" customHeight="1" x14ac:dyDescent="0.25">
      <c r="A72" s="194"/>
      <c r="B72" s="76" t="s">
        <v>18</v>
      </c>
      <c r="C72" s="78"/>
      <c r="D72" s="78"/>
      <c r="E72" s="84">
        <v>16.25</v>
      </c>
      <c r="F72" s="127" t="s">
        <v>165</v>
      </c>
    </row>
    <row r="73" spans="1:6" ht="18.75" customHeight="1" x14ac:dyDescent="0.25">
      <c r="A73" s="194"/>
      <c r="B73" s="79" t="s">
        <v>97</v>
      </c>
      <c r="C73" s="80"/>
      <c r="D73" s="80"/>
      <c r="E73" s="83">
        <v>23.73</v>
      </c>
      <c r="F73" s="124" t="s">
        <v>165</v>
      </c>
    </row>
    <row r="74" spans="1:6" ht="18.75" customHeight="1" x14ac:dyDescent="0.25">
      <c r="A74" s="194"/>
      <c r="B74" s="76" t="s">
        <v>133</v>
      </c>
      <c r="C74" s="78"/>
      <c r="D74" s="78"/>
      <c r="E74" s="84">
        <v>55.67</v>
      </c>
      <c r="F74" s="127" t="s">
        <v>165</v>
      </c>
    </row>
    <row r="75" spans="1:6" ht="18.75" customHeight="1" x14ac:dyDescent="0.25">
      <c r="A75" s="194"/>
      <c r="B75" s="79" t="s">
        <v>132</v>
      </c>
      <c r="C75" s="80"/>
      <c r="D75" s="80"/>
      <c r="E75" s="83">
        <v>54.03</v>
      </c>
      <c r="F75" s="124" t="s">
        <v>165</v>
      </c>
    </row>
    <row r="76" spans="1:6" ht="18.75" customHeight="1" x14ac:dyDescent="0.25">
      <c r="A76" s="194"/>
      <c r="B76" s="76" t="s">
        <v>21</v>
      </c>
      <c r="C76" s="78"/>
      <c r="D76" s="78"/>
      <c r="E76" s="84">
        <v>13.12</v>
      </c>
      <c r="F76" s="127" t="s">
        <v>164</v>
      </c>
    </row>
    <row r="77" spans="1:6" ht="18.75" customHeight="1" x14ac:dyDescent="0.25">
      <c r="A77" s="194"/>
      <c r="B77" s="79" t="s">
        <v>149</v>
      </c>
      <c r="C77" s="80"/>
      <c r="D77" s="80"/>
      <c r="E77" s="83">
        <v>31.36</v>
      </c>
      <c r="F77" s="124" t="s">
        <v>164</v>
      </c>
    </row>
    <row r="78" spans="1:6" ht="18.75" customHeight="1" x14ac:dyDescent="0.25">
      <c r="A78" s="194"/>
      <c r="B78" s="76" t="s">
        <v>150</v>
      </c>
      <c r="C78" s="78"/>
      <c r="D78" s="78"/>
      <c r="E78" s="84">
        <v>0.66</v>
      </c>
      <c r="F78" s="127" t="s">
        <v>215</v>
      </c>
    </row>
    <row r="79" spans="1:6" ht="18.75" customHeight="1" x14ac:dyDescent="0.25">
      <c r="A79" s="194"/>
      <c r="B79" s="79" t="s">
        <v>151</v>
      </c>
      <c r="C79" s="80"/>
      <c r="D79" s="80"/>
      <c r="E79" s="83">
        <v>1.49</v>
      </c>
      <c r="F79" s="127" t="s">
        <v>215</v>
      </c>
    </row>
    <row r="80" spans="1:6" ht="18.75" customHeight="1" x14ac:dyDescent="0.25">
      <c r="A80" s="194"/>
      <c r="B80" s="76" t="s">
        <v>152</v>
      </c>
      <c r="C80" s="78"/>
      <c r="D80" s="78"/>
      <c r="E80" s="84">
        <v>2.8409692671394797</v>
      </c>
      <c r="F80" s="127" t="s">
        <v>215</v>
      </c>
    </row>
    <row r="81" spans="1:6" ht="18.75" customHeight="1" x14ac:dyDescent="0.25">
      <c r="A81" s="194"/>
      <c r="B81" s="89" t="s">
        <v>22</v>
      </c>
      <c r="C81" s="124"/>
      <c r="D81" s="124"/>
      <c r="E81" s="87">
        <v>7.07</v>
      </c>
      <c r="F81" s="124" t="s">
        <v>196</v>
      </c>
    </row>
    <row r="82" spans="1:6" ht="18.75" customHeight="1" thickBot="1" x14ac:dyDescent="0.3">
      <c r="A82" s="195"/>
      <c r="B82" s="135" t="s">
        <v>23</v>
      </c>
      <c r="C82" s="126"/>
      <c r="D82" s="126"/>
      <c r="E82" s="88">
        <v>9.93</v>
      </c>
      <c r="F82" s="127" t="s">
        <v>215</v>
      </c>
    </row>
    <row r="83" spans="1:6" ht="18.75" customHeight="1" thickTop="1" x14ac:dyDescent="0.25">
      <c r="A83" s="188" t="s">
        <v>131</v>
      </c>
      <c r="B83" s="92" t="s">
        <v>11</v>
      </c>
      <c r="C83" s="125"/>
      <c r="D83" s="125"/>
      <c r="E83" s="86">
        <v>1.59</v>
      </c>
      <c r="F83" s="125" t="s">
        <v>154</v>
      </c>
    </row>
    <row r="84" spans="1:6" ht="18.75" customHeight="1" x14ac:dyDescent="0.25">
      <c r="A84" s="189"/>
      <c r="B84" s="89" t="s">
        <v>12</v>
      </c>
      <c r="C84" s="124"/>
      <c r="D84" s="124"/>
      <c r="E84" s="87">
        <v>1.59</v>
      </c>
      <c r="F84" s="124" t="s">
        <v>154</v>
      </c>
    </row>
    <row r="85" spans="1:6" ht="18.75" customHeight="1" thickBot="1" x14ac:dyDescent="0.3">
      <c r="A85" s="190"/>
      <c r="B85" s="135" t="s">
        <v>13</v>
      </c>
      <c r="C85" s="126"/>
      <c r="D85" s="126"/>
      <c r="E85" s="88">
        <v>1.59</v>
      </c>
      <c r="F85" s="126" t="s">
        <v>154</v>
      </c>
    </row>
    <row r="86" spans="1:6" ht="18.75" customHeight="1" thickTop="1" x14ac:dyDescent="0.25">
      <c r="A86" s="188" t="s">
        <v>130</v>
      </c>
      <c r="B86" s="79" t="s">
        <v>105</v>
      </c>
      <c r="C86" s="80"/>
      <c r="D86" s="80"/>
      <c r="E86" s="83">
        <v>2.2999999999999998</v>
      </c>
      <c r="F86" s="124" t="s">
        <v>168</v>
      </c>
    </row>
    <row r="87" spans="1:6" ht="18.75" customHeight="1" x14ac:dyDescent="0.25">
      <c r="A87" s="189"/>
      <c r="B87" s="76" t="s">
        <v>32</v>
      </c>
      <c r="C87" s="78"/>
      <c r="D87" s="78"/>
      <c r="E87" s="84">
        <v>2.2999999999999998</v>
      </c>
      <c r="F87" s="127" t="s">
        <v>168</v>
      </c>
    </row>
    <row r="88" spans="1:6" ht="18.75" customHeight="1" thickBot="1" x14ac:dyDescent="0.3">
      <c r="A88" s="190"/>
      <c r="B88" s="79" t="s">
        <v>5</v>
      </c>
      <c r="C88" s="80"/>
      <c r="D88" s="80"/>
      <c r="E88" s="83">
        <v>17</v>
      </c>
      <c r="F88" s="123" t="s">
        <v>169</v>
      </c>
    </row>
    <row r="89" spans="1:6" ht="18.75" customHeight="1" thickTop="1" x14ac:dyDescent="0.25">
      <c r="A89" s="188" t="s">
        <v>2</v>
      </c>
      <c r="B89" s="92" t="s">
        <v>50</v>
      </c>
      <c r="C89" s="125"/>
      <c r="D89" s="125"/>
      <c r="E89" s="86">
        <v>20.76</v>
      </c>
      <c r="F89" s="118" t="s">
        <v>172</v>
      </c>
    </row>
    <row r="90" spans="1:6" ht="18.75" customHeight="1" x14ac:dyDescent="0.25">
      <c r="A90" s="189"/>
      <c r="B90" s="79" t="s">
        <v>51</v>
      </c>
      <c r="C90" s="80"/>
      <c r="D90" s="80"/>
      <c r="E90" s="83">
        <v>20.76</v>
      </c>
      <c r="F90" s="124" t="s">
        <v>172</v>
      </c>
    </row>
    <row r="91" spans="1:6" ht="18.75" customHeight="1" x14ac:dyDescent="0.25">
      <c r="A91" s="189"/>
      <c r="B91" s="76" t="s">
        <v>12</v>
      </c>
      <c r="C91" s="78"/>
      <c r="D91" s="78"/>
      <c r="E91" s="84">
        <v>34.49</v>
      </c>
      <c r="F91" s="127" t="s">
        <v>172</v>
      </c>
    </row>
    <row r="92" spans="1:6" ht="18.75" customHeight="1" x14ac:dyDescent="0.25">
      <c r="A92" s="189"/>
      <c r="B92" s="79" t="s">
        <v>11</v>
      </c>
      <c r="C92" s="80"/>
      <c r="D92" s="80"/>
      <c r="E92" s="83">
        <v>45.52</v>
      </c>
      <c r="F92" s="124" t="s">
        <v>172</v>
      </c>
    </row>
    <row r="93" spans="1:6" ht="18.75" customHeight="1" x14ac:dyDescent="0.25">
      <c r="A93" s="189"/>
      <c r="B93" s="76" t="s">
        <v>52</v>
      </c>
      <c r="C93" s="78"/>
      <c r="D93" s="78"/>
      <c r="E93" s="84">
        <v>132.5</v>
      </c>
      <c r="F93" s="127" t="s">
        <v>170</v>
      </c>
    </row>
    <row r="94" spans="1:6" ht="18.75" customHeight="1" thickBot="1" x14ac:dyDescent="0.3">
      <c r="A94" s="190"/>
      <c r="B94" s="81" t="s">
        <v>54</v>
      </c>
      <c r="C94" s="82"/>
      <c r="D94" s="82"/>
      <c r="E94" s="85">
        <v>30.5</v>
      </c>
      <c r="F94" s="123" t="s">
        <v>171</v>
      </c>
    </row>
    <row r="95" spans="1:6" ht="18.75" customHeight="1" thickTop="1" x14ac:dyDescent="0.25">
      <c r="A95" s="191" t="s">
        <v>55</v>
      </c>
      <c r="B95" s="92" t="s">
        <v>57</v>
      </c>
      <c r="C95" s="125"/>
      <c r="D95" s="125"/>
      <c r="E95" s="86">
        <v>10</v>
      </c>
      <c r="F95" s="125" t="s">
        <v>173</v>
      </c>
    </row>
    <row r="96" spans="1:6" ht="18.75" customHeight="1" x14ac:dyDescent="0.25">
      <c r="A96" s="192"/>
      <c r="B96" s="89" t="s">
        <v>58</v>
      </c>
      <c r="C96" s="124"/>
      <c r="D96" s="124"/>
      <c r="E96" s="87">
        <v>25</v>
      </c>
      <c r="F96" s="124" t="s">
        <v>173</v>
      </c>
    </row>
    <row r="97" spans="1:6" ht="18.75" customHeight="1" thickBot="1" x14ac:dyDescent="0.3">
      <c r="A97" s="193"/>
      <c r="B97" s="135" t="s">
        <v>190</v>
      </c>
      <c r="C97" s="126"/>
      <c r="D97" s="126"/>
      <c r="E97" s="88">
        <v>25</v>
      </c>
      <c r="F97" s="126" t="s">
        <v>173</v>
      </c>
    </row>
    <row r="98" spans="1:6" ht="18.75" customHeight="1" thickTop="1" x14ac:dyDescent="0.25">
      <c r="A98" s="188" t="s">
        <v>48</v>
      </c>
      <c r="B98" s="92" t="s">
        <v>39</v>
      </c>
      <c r="C98" s="92"/>
      <c r="D98" s="92"/>
      <c r="E98" s="86">
        <v>1.59</v>
      </c>
      <c r="F98" s="127" t="s">
        <v>154</v>
      </c>
    </row>
    <row r="99" spans="1:6" ht="18.75" customHeight="1" x14ac:dyDescent="0.25">
      <c r="A99" s="189"/>
      <c r="B99" s="79" t="s">
        <v>41</v>
      </c>
      <c r="C99" s="79"/>
      <c r="D99" s="79"/>
      <c r="E99" s="83">
        <v>1.59</v>
      </c>
      <c r="F99" s="124" t="s">
        <v>154</v>
      </c>
    </row>
    <row r="100" spans="1:6" ht="18.75" customHeight="1" x14ac:dyDescent="0.25">
      <c r="A100" s="189"/>
      <c r="B100" s="76" t="s">
        <v>65</v>
      </c>
      <c r="C100" s="116"/>
      <c r="D100" s="116"/>
      <c r="E100" s="84">
        <v>0.1</v>
      </c>
      <c r="F100" s="127" t="s">
        <v>166</v>
      </c>
    </row>
    <row r="101" spans="1:6" ht="18.75" customHeight="1" thickBot="1" x14ac:dyDescent="0.3">
      <c r="A101" s="190"/>
      <c r="B101" s="81" t="s">
        <v>184</v>
      </c>
      <c r="C101" s="81"/>
      <c r="D101" s="81"/>
      <c r="E101" s="85">
        <v>0.17</v>
      </c>
      <c r="F101" s="123" t="s">
        <v>185</v>
      </c>
    </row>
    <row r="102" spans="1:6" ht="18.75" customHeight="1" thickTop="1" x14ac:dyDescent="0.25">
      <c r="A102" s="188" t="s">
        <v>129</v>
      </c>
      <c r="B102" s="79" t="s">
        <v>42</v>
      </c>
      <c r="C102" s="80"/>
      <c r="D102" s="80"/>
      <c r="E102" s="83">
        <v>11.25</v>
      </c>
      <c r="F102" s="124" t="s">
        <v>189</v>
      </c>
    </row>
    <row r="103" spans="1:6" ht="18.75" customHeight="1" x14ac:dyDescent="0.25">
      <c r="A103" s="189"/>
      <c r="B103" s="76" t="s">
        <v>43</v>
      </c>
      <c r="C103" s="78"/>
      <c r="D103" s="78"/>
      <c r="E103" s="84">
        <v>17.39</v>
      </c>
      <c r="F103" s="127" t="s">
        <v>188</v>
      </c>
    </row>
    <row r="104" spans="1:6" ht="18.75" customHeight="1" x14ac:dyDescent="0.25">
      <c r="A104" s="189"/>
      <c r="B104" s="79" t="s">
        <v>155</v>
      </c>
      <c r="C104" s="80"/>
      <c r="D104" s="80"/>
      <c r="E104" s="83">
        <v>11.224285714285713</v>
      </c>
      <c r="F104" s="124" t="s">
        <v>187</v>
      </c>
    </row>
    <row r="105" spans="1:6" ht="18.75" customHeight="1" x14ac:dyDescent="0.25">
      <c r="A105" s="189"/>
      <c r="B105" s="76" t="s">
        <v>44</v>
      </c>
      <c r="C105" s="78"/>
      <c r="D105" s="78"/>
      <c r="E105" s="84">
        <v>8.73</v>
      </c>
      <c r="F105" s="127" t="s">
        <v>174</v>
      </c>
    </row>
    <row r="106" spans="1:6" ht="18.75" customHeight="1" x14ac:dyDescent="0.25">
      <c r="A106" s="189"/>
      <c r="B106" s="79" t="s">
        <v>45</v>
      </c>
      <c r="C106" s="80"/>
      <c r="D106" s="80"/>
      <c r="E106" s="83">
        <v>0.33</v>
      </c>
      <c r="F106" s="124" t="s">
        <v>186</v>
      </c>
    </row>
    <row r="107" spans="1:6" ht="18.75" customHeight="1" x14ac:dyDescent="0.25">
      <c r="A107" s="189"/>
      <c r="B107" s="76" t="s">
        <v>46</v>
      </c>
      <c r="C107" s="78"/>
      <c r="D107" s="78"/>
      <c r="E107" s="84">
        <f>3600/(12*5*30)</f>
        <v>2</v>
      </c>
      <c r="F107" s="127" t="s">
        <v>175</v>
      </c>
    </row>
    <row r="108" spans="1:6" ht="18.75" customHeight="1" x14ac:dyDescent="0.25">
      <c r="A108" s="189"/>
      <c r="B108" s="79" t="s">
        <v>157</v>
      </c>
      <c r="C108" s="80"/>
      <c r="D108" s="80"/>
      <c r="E108" s="83">
        <f>AVERAGE(E102:E107)</f>
        <v>8.4873809523809527</v>
      </c>
      <c r="F108" s="124" t="s">
        <v>176</v>
      </c>
    </row>
    <row r="109" spans="1:6" ht="18.75" customHeight="1" thickBot="1" x14ac:dyDescent="0.3">
      <c r="A109" s="190"/>
      <c r="B109" s="135" t="s">
        <v>156</v>
      </c>
      <c r="C109" s="126"/>
      <c r="D109" s="126"/>
      <c r="E109" s="88">
        <f>AVERAGE(E102:E107)</f>
        <v>8.4873809523809527</v>
      </c>
      <c r="F109" s="126" t="s">
        <v>176</v>
      </c>
    </row>
    <row r="110" spans="1:6" ht="18.75" hidden="1" customHeight="1" thickTop="1" x14ac:dyDescent="0.25"/>
    <row r="111" spans="1:6" ht="18.75" hidden="1" customHeight="1" x14ac:dyDescent="0.25"/>
    <row r="112" spans="1:6" ht="18.75" hidden="1" customHeight="1" x14ac:dyDescent="0.25"/>
    <row r="113" spans="2:5" ht="18.75" hidden="1" customHeight="1" x14ac:dyDescent="0.25">
      <c r="B113" s="93"/>
      <c r="E113" s="134"/>
    </row>
    <row r="114" spans="2:5" ht="18.75" hidden="1" customHeight="1" x14ac:dyDescent="0.25">
      <c r="B114" s="93"/>
      <c r="E114" s="134"/>
    </row>
    <row r="115" spans="2:5" ht="18.75" hidden="1" customHeight="1" x14ac:dyDescent="0.25">
      <c r="B115" s="93"/>
      <c r="E115" s="134"/>
    </row>
    <row r="116" spans="2:5" ht="18.75" hidden="1" customHeight="1" x14ac:dyDescent="0.25">
      <c r="B116" s="93"/>
      <c r="E116" s="134"/>
    </row>
    <row r="117" spans="2:5" ht="18.75" hidden="1" customHeight="1" x14ac:dyDescent="0.25">
      <c r="B117" s="93"/>
      <c r="E117" s="134"/>
    </row>
    <row r="118" spans="2:5" ht="18.75" hidden="1" customHeight="1" x14ac:dyDescent="0.25">
      <c r="B118" s="93"/>
      <c r="E118" s="134"/>
    </row>
    <row r="119" spans="2:5" ht="18.75" hidden="1" customHeight="1" x14ac:dyDescent="0.25">
      <c r="B119" s="93"/>
      <c r="E119" s="134"/>
    </row>
    <row r="120" spans="2:5" ht="18.75" hidden="1" customHeight="1" x14ac:dyDescent="0.25">
      <c r="B120" s="93"/>
      <c r="E120" s="134"/>
    </row>
    <row r="121" spans="2:5" ht="18.75" hidden="1" customHeight="1" x14ac:dyDescent="0.25">
      <c r="B121" s="93"/>
      <c r="E121" s="134"/>
    </row>
    <row r="122" spans="2:5" ht="18.75" hidden="1" customHeight="1" x14ac:dyDescent="0.25">
      <c r="B122" s="93"/>
      <c r="E122" s="134"/>
    </row>
    <row r="123" spans="2:5" ht="18.75" hidden="1" customHeight="1" x14ac:dyDescent="0.25">
      <c r="B123" s="93"/>
      <c r="E123" s="134"/>
    </row>
    <row r="124" spans="2:5" ht="18.75" hidden="1" customHeight="1" x14ac:dyDescent="0.25">
      <c r="B124" s="93"/>
      <c r="E124" s="134"/>
    </row>
    <row r="125" spans="2:5" ht="18.75" hidden="1" customHeight="1" x14ac:dyDescent="0.25">
      <c r="B125" s="93"/>
      <c r="E125" s="134"/>
    </row>
    <row r="126" spans="2:5" ht="18.75" hidden="1" customHeight="1" x14ac:dyDescent="0.25">
      <c r="B126" s="93"/>
      <c r="E126" s="134"/>
    </row>
    <row r="127" spans="2:5" ht="18.75" hidden="1" customHeight="1" x14ac:dyDescent="0.25">
      <c r="B127" s="93"/>
      <c r="E127" s="134"/>
    </row>
    <row r="128" spans="2:5" ht="18.75" hidden="1" customHeight="1" x14ac:dyDescent="0.25">
      <c r="B128" s="93"/>
      <c r="E128" s="134"/>
    </row>
    <row r="129" spans="2:5" ht="18.75" hidden="1" customHeight="1" x14ac:dyDescent="0.25">
      <c r="B129" s="93"/>
      <c r="E129" s="134"/>
    </row>
    <row r="130" spans="2:5" ht="18.75" hidden="1" customHeight="1" x14ac:dyDescent="0.25">
      <c r="B130" s="93"/>
      <c r="E130" s="134"/>
    </row>
    <row r="131" spans="2:5" ht="18.75" hidden="1" customHeight="1" x14ac:dyDescent="0.25">
      <c r="B131" s="93"/>
      <c r="E131" s="134"/>
    </row>
    <row r="132" spans="2:5" ht="18.75" hidden="1" customHeight="1" x14ac:dyDescent="0.25">
      <c r="B132" s="93"/>
      <c r="E132" s="134"/>
    </row>
    <row r="133" spans="2:5" ht="18.75" hidden="1" customHeight="1" x14ac:dyDescent="0.25">
      <c r="B133" s="93"/>
      <c r="E133" s="134"/>
    </row>
  </sheetData>
  <mergeCells count="19">
    <mergeCell ref="A86:A88"/>
    <mergeCell ref="A89:A94"/>
    <mergeCell ref="A98:A101"/>
    <mergeCell ref="A102:A109"/>
    <mergeCell ref="A95:A97"/>
    <mergeCell ref="A1:F2"/>
    <mergeCell ref="A23:A26"/>
    <mergeCell ref="A27:A29"/>
    <mergeCell ref="A30:A35"/>
    <mergeCell ref="A4:A22"/>
    <mergeCell ref="A39:A42"/>
    <mergeCell ref="A36:A38"/>
    <mergeCell ref="A59:A61"/>
    <mergeCell ref="A54:A55"/>
    <mergeCell ref="A83:A85"/>
    <mergeCell ref="A64:A82"/>
    <mergeCell ref="A43:A50"/>
    <mergeCell ref="A51:A53"/>
    <mergeCell ref="A56:A58"/>
  </mergeCells>
  <pageMargins left="0.7" right="0.7" top="0.75" bottom="0.75" header="0.3" footer="0.3"/>
  <pageSetup scale="55" fitToHeight="0" orientation="portrait" r:id="rId1"/>
  <headerFooter>
    <oddHeader>&amp;F</oddHeader>
    <oddFooter>&amp;A&amp;RPage &amp;P</oddFooter>
  </headerFooter>
  <rowBreaks count="1" manualBreakCount="1">
    <brk id="6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5"/>
  <sheetViews>
    <sheetView showGridLines="0" tabSelected="1" zoomScaleNormal="100" workbookViewId="0"/>
  </sheetViews>
  <sheetFormatPr defaultColWidth="0" defaultRowHeight="15" zeroHeight="1" x14ac:dyDescent="0.25"/>
  <cols>
    <col min="1" max="1" width="3.5" style="119" customWidth="1"/>
    <col min="2" max="2" width="25.625" style="119" customWidth="1"/>
    <col min="3" max="3" width="19.75" style="6" customWidth="1"/>
    <col min="4" max="4" width="10.125" style="7" customWidth="1"/>
    <col min="5" max="5" width="19.875" style="146" customWidth="1"/>
    <col min="6" max="6" width="10.125" style="146" customWidth="1"/>
    <col min="7" max="7" width="7" style="146" hidden="1" customWidth="1"/>
    <col min="8" max="8" width="12.125" style="119" hidden="1" customWidth="1"/>
    <col min="9" max="9" width="0" style="119" hidden="1" customWidth="1"/>
    <col min="10" max="16384" width="9" style="119" hidden="1"/>
  </cols>
  <sheetData>
    <row r="1" spans="2:7" x14ac:dyDescent="0.25">
      <c r="G1" s="119"/>
    </row>
    <row r="2" spans="2:7" ht="20.25" thickBot="1" x14ac:dyDescent="0.3">
      <c r="B2" s="13" t="s">
        <v>9</v>
      </c>
      <c r="C2" s="15"/>
      <c r="D2" s="16"/>
      <c r="E2" s="160"/>
      <c r="F2" s="160"/>
      <c r="G2" s="119"/>
    </row>
    <row r="3" spans="2:7" ht="15.75" thickTop="1" x14ac:dyDescent="0.25">
      <c r="F3" s="119"/>
      <c r="G3" s="119"/>
    </row>
    <row r="4" spans="2:7" s="5" customFormat="1" ht="30" x14ac:dyDescent="0.25">
      <c r="B4" s="11" t="s">
        <v>10</v>
      </c>
      <c r="C4" s="12" t="s">
        <v>24</v>
      </c>
      <c r="D4" s="12" t="s">
        <v>25</v>
      </c>
      <c r="E4" s="161" t="s">
        <v>211</v>
      </c>
    </row>
    <row r="5" spans="2:7" x14ac:dyDescent="0.25">
      <c r="B5" s="119" t="s">
        <v>11</v>
      </c>
      <c r="C5" s="22">
        <f>'Input Values Data'!E4</f>
        <v>1265061</v>
      </c>
      <c r="D5" s="23">
        <f>'Input Values Data'!E64</f>
        <v>40.67</v>
      </c>
      <c r="E5" s="146">
        <f>(C5*D5)*0.6</f>
        <v>30870018.522</v>
      </c>
      <c r="F5" s="119"/>
      <c r="G5" s="119"/>
    </row>
    <row r="6" spans="2:7" x14ac:dyDescent="0.25">
      <c r="B6" s="119" t="s">
        <v>12</v>
      </c>
      <c r="C6" s="22">
        <f>'Input Values Data'!E5</f>
        <v>124846</v>
      </c>
      <c r="D6" s="23">
        <f>'Input Values Data'!$E$65</f>
        <v>26.29</v>
      </c>
      <c r="E6" s="146">
        <f t="shared" ref="E6:E7" si="0">(C6*D6)*0.6</f>
        <v>1969320.8039999998</v>
      </c>
      <c r="F6" s="119"/>
      <c r="G6" s="119"/>
    </row>
    <row r="7" spans="2:7" x14ac:dyDescent="0.25">
      <c r="B7" s="119" t="s">
        <v>13</v>
      </c>
      <c r="C7" s="22">
        <f>'Input Values Data'!E6</f>
        <v>868765</v>
      </c>
      <c r="D7" s="23">
        <f>'Input Values Data'!E66</f>
        <v>11.91</v>
      </c>
      <c r="E7" s="146">
        <f t="shared" si="0"/>
        <v>6208194.6900000004</v>
      </c>
      <c r="F7" s="119"/>
      <c r="G7" s="119"/>
    </row>
    <row r="8" spans="2:7" ht="15.75" thickBot="1" x14ac:dyDescent="0.3">
      <c r="B8" s="8" t="s">
        <v>95</v>
      </c>
      <c r="C8" s="9">
        <f>SUM(C5:C7)</f>
        <v>2258672</v>
      </c>
      <c r="D8" s="10"/>
      <c r="E8" s="162">
        <f>SUM(E5:E7)</f>
        <v>39047534.016000003</v>
      </c>
      <c r="F8" s="119"/>
      <c r="G8" s="119"/>
    </row>
    <row r="9" spans="2:7" ht="15.75" thickTop="1" x14ac:dyDescent="0.25">
      <c r="F9" s="119"/>
      <c r="G9" s="119"/>
    </row>
    <row r="10" spans="2:7" ht="30" x14ac:dyDescent="0.25">
      <c r="B10" s="11" t="s">
        <v>14</v>
      </c>
      <c r="C10" s="12" t="s">
        <v>24</v>
      </c>
      <c r="D10" s="12" t="s">
        <v>25</v>
      </c>
      <c r="E10" s="161" t="s">
        <v>211</v>
      </c>
      <c r="F10" s="119"/>
      <c r="G10" s="119"/>
    </row>
    <row r="11" spans="2:7" x14ac:dyDescent="0.25">
      <c r="B11" s="119" t="s">
        <v>11</v>
      </c>
      <c r="C11" s="22">
        <f>'Input Values Data'!E7</f>
        <v>72021</v>
      </c>
      <c r="D11" s="23">
        <f>'Input Values Data'!E67</f>
        <v>31.36</v>
      </c>
      <c r="E11" s="146">
        <f t="shared" ref="E11:E13" si="1">(C11*D11)*0.6</f>
        <v>1355147.1359999999</v>
      </c>
      <c r="F11" s="119"/>
      <c r="G11" s="119"/>
    </row>
    <row r="12" spans="2:7" x14ac:dyDescent="0.25">
      <c r="B12" s="119" t="s">
        <v>13</v>
      </c>
      <c r="C12" s="22">
        <f>'Input Values Data'!E8</f>
        <v>10045</v>
      </c>
      <c r="D12" s="23">
        <f>'Input Values Data'!E68</f>
        <v>25.8</v>
      </c>
      <c r="E12" s="146">
        <f t="shared" si="1"/>
        <v>155496.6</v>
      </c>
      <c r="F12" s="119"/>
      <c r="G12" s="119"/>
    </row>
    <row r="13" spans="2:7" x14ac:dyDescent="0.25">
      <c r="B13" s="119" t="s">
        <v>153</v>
      </c>
      <c r="C13" s="22">
        <f>'Input Values Data'!$E$9</f>
        <v>1091</v>
      </c>
      <c r="D13" s="23">
        <f>'Input Values Data'!$E$69</f>
        <v>25.8</v>
      </c>
      <c r="E13" s="146">
        <f t="shared" si="1"/>
        <v>16888.68</v>
      </c>
      <c r="F13" s="119"/>
      <c r="G13" s="119"/>
    </row>
    <row r="14" spans="2:7" ht="15.75" thickBot="1" x14ac:dyDescent="0.3">
      <c r="B14" s="8" t="s">
        <v>96</v>
      </c>
      <c r="C14" s="9">
        <f>SUM(C11:C12)</f>
        <v>82066</v>
      </c>
      <c r="D14" s="10"/>
      <c r="E14" s="162">
        <f t="shared" ref="E14" si="2">SUM(E11:E13)</f>
        <v>1527532.416</v>
      </c>
      <c r="F14" s="119"/>
      <c r="G14" s="119"/>
    </row>
    <row r="15" spans="2:7" ht="15.75" thickTop="1" x14ac:dyDescent="0.25">
      <c r="F15" s="119"/>
      <c r="G15" s="119"/>
    </row>
    <row r="16" spans="2:7" ht="30" x14ac:dyDescent="0.25">
      <c r="B16" s="11" t="s">
        <v>15</v>
      </c>
      <c r="C16" s="12" t="s">
        <v>24</v>
      </c>
      <c r="D16" s="12" t="s">
        <v>25</v>
      </c>
      <c r="E16" s="161" t="s">
        <v>211</v>
      </c>
      <c r="F16" s="119"/>
      <c r="G16" s="119"/>
    </row>
    <row r="17" spans="2:7" x14ac:dyDescent="0.25">
      <c r="B17" s="119" t="s">
        <v>16</v>
      </c>
      <c r="C17" s="22">
        <f>'Input Values Data'!$E$10</f>
        <v>140888</v>
      </c>
      <c r="D17" s="23">
        <f>'Input Values Data'!$E$70</f>
        <v>11.55</v>
      </c>
      <c r="E17" s="146">
        <f>(C17*D17)*0.6</f>
        <v>976353.84000000008</v>
      </c>
      <c r="F17" s="119"/>
      <c r="G17" s="119"/>
    </row>
    <row r="18" spans="2:7" ht="15.75" thickBot="1" x14ac:dyDescent="0.3">
      <c r="B18" s="8" t="s">
        <v>98</v>
      </c>
      <c r="C18" s="9">
        <f>SUM(C17)</f>
        <v>140888</v>
      </c>
      <c r="D18" s="10"/>
      <c r="E18" s="162">
        <f>SUM(E17)</f>
        <v>976353.84000000008</v>
      </c>
      <c r="F18" s="119"/>
      <c r="G18" s="119"/>
    </row>
    <row r="19" spans="2:7" ht="15.75" thickTop="1" x14ac:dyDescent="0.25">
      <c r="F19" s="119"/>
      <c r="G19" s="119"/>
    </row>
    <row r="20" spans="2:7" ht="30" x14ac:dyDescent="0.25">
      <c r="B20" s="11" t="s">
        <v>17</v>
      </c>
      <c r="C20" s="12" t="s">
        <v>24</v>
      </c>
      <c r="D20" s="12" t="s">
        <v>25</v>
      </c>
      <c r="E20" s="161" t="s">
        <v>211</v>
      </c>
      <c r="F20" s="119"/>
      <c r="G20" s="119"/>
    </row>
    <row r="21" spans="2:7" x14ac:dyDescent="0.25">
      <c r="B21" s="119" t="s">
        <v>16</v>
      </c>
      <c r="C21" s="22">
        <f>'Input Values Data'!$E$11</f>
        <v>215294</v>
      </c>
      <c r="D21" s="23">
        <f>'Input Values Data'!$E$71</f>
        <v>15.77</v>
      </c>
      <c r="E21" s="146">
        <f>(C21*D21)*0.6</f>
        <v>2037111.8279999997</v>
      </c>
      <c r="F21" s="119"/>
      <c r="G21" s="119"/>
    </row>
    <row r="22" spans="2:7" ht="15.75" thickBot="1" x14ac:dyDescent="0.3">
      <c r="B22" s="8" t="s">
        <v>99</v>
      </c>
      <c r="C22" s="9">
        <f>SUM(C21)</f>
        <v>215294</v>
      </c>
      <c r="D22" s="10"/>
      <c r="E22" s="162">
        <f>SUM(E21)</f>
        <v>2037111.8279999997</v>
      </c>
      <c r="F22" s="119"/>
      <c r="G22" s="119"/>
    </row>
    <row r="23" spans="2:7" ht="15.75" thickTop="1" x14ac:dyDescent="0.25">
      <c r="F23" s="119"/>
      <c r="G23" s="119"/>
    </row>
    <row r="24" spans="2:7" ht="30" x14ac:dyDescent="0.25">
      <c r="B24" s="11" t="s">
        <v>18</v>
      </c>
      <c r="C24" s="12" t="s">
        <v>24</v>
      </c>
      <c r="D24" s="12" t="s">
        <v>25</v>
      </c>
      <c r="E24" s="161" t="s">
        <v>211</v>
      </c>
      <c r="F24" s="119"/>
      <c r="G24" s="119"/>
    </row>
    <row r="25" spans="2:7" x14ac:dyDescent="0.25">
      <c r="B25" s="119" t="s">
        <v>16</v>
      </c>
      <c r="C25" s="22">
        <f>'Input Values Data'!$E$12</f>
        <v>2200921</v>
      </c>
      <c r="D25" s="23">
        <f>'Input Values Data'!$E$72</f>
        <v>16.25</v>
      </c>
      <c r="E25" s="146">
        <f>(C25*D25)*0.6</f>
        <v>21458979.75</v>
      </c>
      <c r="F25" s="119"/>
      <c r="G25" s="119"/>
    </row>
    <row r="26" spans="2:7" ht="15.75" thickBot="1" x14ac:dyDescent="0.3">
      <c r="B26" s="8" t="s">
        <v>100</v>
      </c>
      <c r="C26" s="9">
        <f>SUM(C25)</f>
        <v>2200921</v>
      </c>
      <c r="D26" s="10"/>
      <c r="E26" s="162">
        <f>SUM(E25)</f>
        <v>21458979.75</v>
      </c>
      <c r="F26" s="119"/>
      <c r="G26" s="119"/>
    </row>
    <row r="27" spans="2:7" ht="15.75" thickTop="1" x14ac:dyDescent="0.25">
      <c r="F27" s="119"/>
      <c r="G27" s="119"/>
    </row>
    <row r="28" spans="2:7" ht="30" x14ac:dyDescent="0.25">
      <c r="B28" s="11" t="s">
        <v>97</v>
      </c>
      <c r="C28" s="12" t="s">
        <v>24</v>
      </c>
      <c r="D28" s="12" t="s">
        <v>25</v>
      </c>
      <c r="E28" s="161" t="s">
        <v>211</v>
      </c>
      <c r="F28" s="119"/>
      <c r="G28" s="119"/>
    </row>
    <row r="29" spans="2:7" x14ac:dyDescent="0.25">
      <c r="B29" s="119" t="s">
        <v>16</v>
      </c>
      <c r="C29" s="22">
        <f>'Input Values Data'!$E$13</f>
        <v>223584</v>
      </c>
      <c r="D29" s="23">
        <f>'Input Values Data'!$E$73</f>
        <v>23.73</v>
      </c>
      <c r="E29" s="146">
        <f>(C29*D29)*0.6</f>
        <v>3183388.9920000001</v>
      </c>
      <c r="F29" s="119"/>
      <c r="G29" s="119"/>
    </row>
    <row r="30" spans="2:7" ht="15.75" thickBot="1" x14ac:dyDescent="0.3">
      <c r="B30" s="8" t="s">
        <v>101</v>
      </c>
      <c r="C30" s="9">
        <f>SUM(C29)</f>
        <v>223584</v>
      </c>
      <c r="D30" s="10"/>
      <c r="E30" s="162">
        <f>SUM(E29)</f>
        <v>3183388.9920000001</v>
      </c>
      <c r="F30" s="119"/>
      <c r="G30" s="119"/>
    </row>
    <row r="31" spans="2:7" ht="15.75" thickTop="1" x14ac:dyDescent="0.25">
      <c r="F31" s="119"/>
      <c r="G31" s="119"/>
    </row>
    <row r="32" spans="2:7" ht="30" x14ac:dyDescent="0.25">
      <c r="B32" s="11" t="s">
        <v>19</v>
      </c>
      <c r="C32" s="12" t="s">
        <v>24</v>
      </c>
      <c r="D32" s="12" t="s">
        <v>25</v>
      </c>
      <c r="E32" s="161" t="s">
        <v>211</v>
      </c>
      <c r="F32" s="119"/>
      <c r="G32" s="119"/>
    </row>
    <row r="33" spans="2:7" x14ac:dyDescent="0.25">
      <c r="B33" s="119" t="s">
        <v>20</v>
      </c>
      <c r="C33" s="22">
        <f>'Input Values Data'!E14</f>
        <v>33786</v>
      </c>
      <c r="D33" s="23">
        <f>'Input Values Data'!E74</f>
        <v>55.67</v>
      </c>
      <c r="E33" s="146">
        <f>(C33*D33)*0.6</f>
        <v>1128519.9720000001</v>
      </c>
      <c r="F33" s="119"/>
      <c r="G33" s="119"/>
    </row>
    <row r="34" spans="2:7" x14ac:dyDescent="0.25">
      <c r="B34" s="119" t="s">
        <v>13</v>
      </c>
      <c r="C34" s="22">
        <f>'Input Values Data'!E15</f>
        <v>43049</v>
      </c>
      <c r="D34" s="23">
        <f>'Input Values Data'!E75</f>
        <v>54.03</v>
      </c>
      <c r="E34" s="146">
        <f>(C34*D34)*0.6</f>
        <v>1395562.4820000001</v>
      </c>
      <c r="F34" s="119"/>
      <c r="G34" s="119"/>
    </row>
    <row r="35" spans="2:7" ht="15.75" thickBot="1" x14ac:dyDescent="0.3">
      <c r="B35" s="8" t="s">
        <v>102</v>
      </c>
      <c r="C35" s="9">
        <f>SUM(C33:C34)</f>
        <v>76835</v>
      </c>
      <c r="D35" s="10"/>
      <c r="E35" s="162">
        <f>SUM(E33:E34)</f>
        <v>2524082.4539999999</v>
      </c>
      <c r="F35" s="119"/>
      <c r="G35" s="119"/>
    </row>
    <row r="36" spans="2:7" ht="15.75" thickTop="1" x14ac:dyDescent="0.25">
      <c r="F36" s="119"/>
      <c r="G36" s="119"/>
    </row>
    <row r="37" spans="2:7" ht="30" x14ac:dyDescent="0.25">
      <c r="B37" s="11" t="s">
        <v>109</v>
      </c>
      <c r="C37" s="12" t="s">
        <v>24</v>
      </c>
      <c r="D37" s="12" t="s">
        <v>25</v>
      </c>
      <c r="E37" s="161" t="s">
        <v>211</v>
      </c>
      <c r="F37" s="119"/>
      <c r="G37" s="119"/>
    </row>
    <row r="38" spans="2:7" x14ac:dyDescent="0.25">
      <c r="B38" s="119" t="s">
        <v>21</v>
      </c>
      <c r="C38" s="22">
        <f>'Input Values Data'!E16</f>
        <v>551427</v>
      </c>
      <c r="D38" s="23">
        <f>'Input Values Data'!E76</f>
        <v>13.12</v>
      </c>
      <c r="E38" s="146">
        <f t="shared" ref="E38:E44" si="3">(C38*D38)*0.6</f>
        <v>4340833.3439999996</v>
      </c>
      <c r="F38" s="119"/>
      <c r="G38" s="119"/>
    </row>
    <row r="39" spans="2:7" x14ac:dyDescent="0.25">
      <c r="B39" s="119" t="s">
        <v>149</v>
      </c>
      <c r="C39" s="22">
        <f>'Input Values Data'!E17</f>
        <v>124178</v>
      </c>
      <c r="D39" s="23">
        <f>'Input Values Data'!E77</f>
        <v>31.36</v>
      </c>
      <c r="E39" s="146">
        <f t="shared" si="3"/>
        <v>2336533.2480000001</v>
      </c>
      <c r="F39" s="119"/>
      <c r="G39" s="119"/>
    </row>
    <row r="40" spans="2:7" x14ac:dyDescent="0.25">
      <c r="B40" s="119" t="s">
        <v>150</v>
      </c>
      <c r="C40" s="22">
        <f>'Input Values Data'!E18</f>
        <v>434551</v>
      </c>
      <c r="D40" s="23">
        <f>'Input Values Data'!E78</f>
        <v>0.66</v>
      </c>
      <c r="E40" s="146">
        <f t="shared" si="3"/>
        <v>172082.19600000003</v>
      </c>
      <c r="F40" s="119"/>
      <c r="G40" s="119"/>
    </row>
    <row r="41" spans="2:7" x14ac:dyDescent="0.25">
      <c r="B41" s="119" t="s">
        <v>151</v>
      </c>
      <c r="C41" s="22">
        <f>'Input Values Data'!E19</f>
        <v>78642</v>
      </c>
      <c r="D41" s="23">
        <f>'Input Values Data'!E79</f>
        <v>1.49</v>
      </c>
      <c r="E41" s="146">
        <f t="shared" si="3"/>
        <v>70305.948000000004</v>
      </c>
      <c r="F41" s="119"/>
      <c r="G41" s="119"/>
    </row>
    <row r="42" spans="2:7" x14ac:dyDescent="0.25">
      <c r="B42" s="119" t="s">
        <v>152</v>
      </c>
      <c r="C42" s="22">
        <f>'Input Values Data'!E20</f>
        <v>21075</v>
      </c>
      <c r="D42" s="23">
        <f>'Input Values Data'!E80</f>
        <v>2.8409692671394797</v>
      </c>
      <c r="E42" s="146">
        <f t="shared" si="3"/>
        <v>35924.056382978721</v>
      </c>
      <c r="F42" s="119"/>
      <c r="G42" s="119"/>
    </row>
    <row r="43" spans="2:7" x14ac:dyDescent="0.25">
      <c r="B43" s="119" t="s">
        <v>22</v>
      </c>
      <c r="C43" s="22">
        <f>'Input Values Data'!E21</f>
        <v>182633</v>
      </c>
      <c r="D43" s="23">
        <f>'Input Values Data'!E81</f>
        <v>7.07</v>
      </c>
      <c r="E43" s="146">
        <f t="shared" si="3"/>
        <v>774729.18599999999</v>
      </c>
      <c r="F43" s="119"/>
      <c r="G43" s="119"/>
    </row>
    <row r="44" spans="2:7" x14ac:dyDescent="0.25">
      <c r="B44" s="119" t="s">
        <v>23</v>
      </c>
      <c r="C44" s="22">
        <f>'Input Values Data'!E22</f>
        <v>57403</v>
      </c>
      <c r="D44" s="23">
        <f>'Input Values Data'!E82</f>
        <v>9.93</v>
      </c>
      <c r="E44" s="146">
        <f t="shared" si="3"/>
        <v>342007.07400000002</v>
      </c>
      <c r="F44" s="119"/>
      <c r="G44" s="119"/>
    </row>
    <row r="45" spans="2:7" ht="15.75" thickBot="1" x14ac:dyDescent="0.3">
      <c r="B45" s="8" t="s">
        <v>110</v>
      </c>
      <c r="C45" s="9">
        <f>SUM(C38:C44)</f>
        <v>1449909</v>
      </c>
      <c r="D45" s="10"/>
      <c r="E45" s="162">
        <f>SUM(E38:E44)</f>
        <v>8072415.0523829786</v>
      </c>
      <c r="F45" s="119"/>
      <c r="G45" s="119"/>
    </row>
    <row r="46" spans="2:7" ht="15.75" thickTop="1" x14ac:dyDescent="0.25">
      <c r="F46" s="119"/>
      <c r="G46" s="119"/>
    </row>
    <row r="47" spans="2:7" x14ac:dyDescent="0.25">
      <c r="B47" s="14"/>
      <c r="C47" s="17"/>
      <c r="D47" s="18"/>
      <c r="E47" s="163"/>
      <c r="F47" s="163"/>
      <c r="G47" s="119"/>
    </row>
    <row r="48" spans="2:7" x14ac:dyDescent="0.25">
      <c r="G48" s="119"/>
    </row>
    <row r="49" spans="2:7" ht="20.25" thickBot="1" x14ac:dyDescent="0.3">
      <c r="B49" s="13" t="s">
        <v>26</v>
      </c>
      <c r="C49" s="15"/>
      <c r="D49" s="16"/>
      <c r="E49" s="160"/>
      <c r="F49" s="160"/>
      <c r="G49" s="119"/>
    </row>
    <row r="50" spans="2:7" ht="15.75" thickTop="1" x14ac:dyDescent="0.25">
      <c r="G50" s="119"/>
    </row>
    <row r="51" spans="2:7" ht="30" x14ac:dyDescent="0.25">
      <c r="B51" s="11" t="s">
        <v>26</v>
      </c>
      <c r="C51" s="12" t="s">
        <v>27</v>
      </c>
      <c r="D51" s="12" t="s">
        <v>25</v>
      </c>
      <c r="E51" s="161" t="s">
        <v>211</v>
      </c>
      <c r="F51" s="12" t="s">
        <v>29</v>
      </c>
      <c r="G51" s="119"/>
    </row>
    <row r="52" spans="2:7" x14ac:dyDescent="0.25">
      <c r="B52" s="119" t="s">
        <v>28</v>
      </c>
      <c r="C52" s="22">
        <f>'Input Values Data'!$E$23</f>
        <v>679380</v>
      </c>
      <c r="F52" s="19"/>
      <c r="G52" s="119"/>
    </row>
    <row r="53" spans="2:7" x14ac:dyDescent="0.25">
      <c r="B53" s="119" t="s">
        <v>11</v>
      </c>
      <c r="C53" s="128">
        <f>F53*C$52</f>
        <v>380514.36515793356</v>
      </c>
      <c r="D53" s="23">
        <f>'Input Values Data'!E83</f>
        <v>1.59</v>
      </c>
      <c r="E53" s="146">
        <f>(C53*D53)*0.6</f>
        <v>363010.70436066866</v>
      </c>
      <c r="F53" s="21">
        <f>'Input Values Data'!E24</f>
        <v>0.56009061962073292</v>
      </c>
      <c r="G53" s="197"/>
    </row>
    <row r="54" spans="2:7" x14ac:dyDescent="0.25">
      <c r="B54" s="119" t="s">
        <v>12</v>
      </c>
      <c r="C54" s="6">
        <f>F54*C$52</f>
        <v>37552.099410627132</v>
      </c>
      <c r="D54" s="23">
        <f>'Input Values Data'!E84</f>
        <v>1.59</v>
      </c>
      <c r="E54" s="146">
        <f t="shared" ref="E54:E55" si="4">(C54*D54)*0.6</f>
        <v>35824.702837738281</v>
      </c>
      <c r="F54" s="21">
        <f>'Input Values Data'!E25</f>
        <v>5.5274072552367055E-2</v>
      </c>
      <c r="G54" s="197"/>
    </row>
    <row r="55" spans="2:7" x14ac:dyDescent="0.25">
      <c r="B55" s="119" t="s">
        <v>13</v>
      </c>
      <c r="C55" s="6">
        <f>F55*C$52</f>
        <v>261313.53543143935</v>
      </c>
      <c r="D55" s="23">
        <f>'Input Values Data'!E85</f>
        <v>1.59</v>
      </c>
      <c r="E55" s="146">
        <f t="shared" si="4"/>
        <v>249293.11280159315</v>
      </c>
      <c r="F55" s="21">
        <f>'Input Values Data'!E26</f>
        <v>0.38463530782690003</v>
      </c>
      <c r="G55" s="197"/>
    </row>
    <row r="56" spans="2:7" ht="15.75" thickBot="1" x14ac:dyDescent="0.3">
      <c r="B56" s="8" t="s">
        <v>103</v>
      </c>
      <c r="C56" s="9">
        <f>SUM(C53:C55)</f>
        <v>679380</v>
      </c>
      <c r="D56" s="10"/>
      <c r="E56" s="172">
        <f t="shared" ref="E56:F56" si="5">SUM(E53:E55)</f>
        <v>648128.52</v>
      </c>
      <c r="F56" s="20">
        <f t="shared" si="5"/>
        <v>1</v>
      </c>
      <c r="G56" s="119"/>
    </row>
    <row r="57" spans="2:7" ht="15.75" thickTop="1" x14ac:dyDescent="0.25">
      <c r="B57" s="119" t="s">
        <v>213</v>
      </c>
      <c r="F57" s="119"/>
      <c r="G57" s="119"/>
    </row>
    <row r="58" spans="2:7" x14ac:dyDescent="0.25">
      <c r="B58" s="14"/>
      <c r="C58" s="17"/>
      <c r="D58" s="18"/>
      <c r="E58" s="163"/>
      <c r="F58" s="18"/>
      <c r="G58" s="119"/>
    </row>
    <row r="59" spans="2:7" x14ac:dyDescent="0.25">
      <c r="G59" s="119"/>
    </row>
    <row r="60" spans="2:7" ht="20.25" thickBot="1" x14ac:dyDescent="0.3">
      <c r="B60" s="13" t="s">
        <v>105</v>
      </c>
      <c r="C60" s="15"/>
      <c r="D60" s="16"/>
      <c r="E60" s="160"/>
      <c r="F60" s="119"/>
      <c r="G60" s="119"/>
    </row>
    <row r="61" spans="2:7" ht="15.75" thickTop="1" x14ac:dyDescent="0.25">
      <c r="F61" s="119"/>
      <c r="G61" s="119"/>
    </row>
    <row r="62" spans="2:7" ht="30" x14ac:dyDescent="0.25">
      <c r="B62" s="11"/>
      <c r="C62" s="12" t="s">
        <v>30</v>
      </c>
      <c r="D62" s="12" t="s">
        <v>31</v>
      </c>
      <c r="E62" s="161" t="s">
        <v>211</v>
      </c>
      <c r="F62" s="119"/>
      <c r="G62" s="119"/>
    </row>
    <row r="63" spans="2:7" x14ac:dyDescent="0.25">
      <c r="B63" s="119" t="s">
        <v>105</v>
      </c>
      <c r="C63" s="22">
        <f>'Input Values Data'!$E$27</f>
        <v>1265400.147209933</v>
      </c>
      <c r="D63" s="23">
        <f>'Input Values Data'!$E$86</f>
        <v>2.2999999999999998</v>
      </c>
      <c r="E63" s="146">
        <f>(C63*D63)*0.6</f>
        <v>1746252.2031497075</v>
      </c>
      <c r="F63" s="119"/>
      <c r="G63" s="119"/>
    </row>
    <row r="64" spans="2:7" ht="15.75" thickBot="1" x14ac:dyDescent="0.3">
      <c r="B64" s="8" t="s">
        <v>104</v>
      </c>
      <c r="C64" s="9">
        <f>SUM(C63:C63)</f>
        <v>1265400.147209933</v>
      </c>
      <c r="D64" s="10"/>
      <c r="E64" s="162">
        <f>SUM(E63:E63)</f>
        <v>1746252.2031497075</v>
      </c>
      <c r="F64" s="119"/>
      <c r="G64" s="119"/>
    </row>
    <row r="65" spans="2:7" ht="15.75" thickTop="1" x14ac:dyDescent="0.25">
      <c r="F65" s="119"/>
      <c r="G65" s="119"/>
    </row>
    <row r="66" spans="2:7" x14ac:dyDescent="0.25">
      <c r="B66" s="14"/>
      <c r="C66" s="17"/>
      <c r="D66" s="18"/>
      <c r="E66" s="163"/>
      <c r="F66" s="119"/>
      <c r="G66" s="119"/>
    </row>
    <row r="67" spans="2:7" x14ac:dyDescent="0.25">
      <c r="F67" s="119"/>
      <c r="G67" s="119"/>
    </row>
    <row r="68" spans="2:7" ht="20.25" thickBot="1" x14ac:dyDescent="0.3">
      <c r="B68" s="13" t="s">
        <v>32</v>
      </c>
      <c r="C68" s="15"/>
      <c r="D68" s="16"/>
      <c r="E68" s="160"/>
      <c r="F68" s="119"/>
      <c r="G68" s="119"/>
    </row>
    <row r="69" spans="2:7" ht="15.75" thickTop="1" x14ac:dyDescent="0.25">
      <c r="F69" s="119"/>
      <c r="G69" s="119"/>
    </row>
    <row r="70" spans="2:7" ht="30" x14ac:dyDescent="0.25">
      <c r="B70" s="11"/>
      <c r="C70" s="12" t="s">
        <v>30</v>
      </c>
      <c r="D70" s="12" t="s">
        <v>177</v>
      </c>
      <c r="E70" s="161" t="s">
        <v>211</v>
      </c>
      <c r="F70" s="119"/>
      <c r="G70" s="119"/>
    </row>
    <row r="71" spans="2:7" x14ac:dyDescent="0.25">
      <c r="B71" s="119" t="s">
        <v>32</v>
      </c>
      <c r="C71" s="22">
        <f>'Input Values Data'!$E$28</f>
        <v>2928</v>
      </c>
      <c r="D71" s="23">
        <f>'Input Values Data'!$E$87</f>
        <v>2.2999999999999998</v>
      </c>
      <c r="E71" s="146">
        <f>(C71*D71)*0.6</f>
        <v>4040.6399999999994</v>
      </c>
      <c r="F71" s="119"/>
      <c r="G71" s="119"/>
    </row>
    <row r="72" spans="2:7" ht="15.75" thickBot="1" x14ac:dyDescent="0.3">
      <c r="B72" s="8" t="s">
        <v>106</v>
      </c>
      <c r="C72" s="9">
        <f>SUM(C71:C71)</f>
        <v>2928</v>
      </c>
      <c r="D72" s="10"/>
      <c r="E72" s="162">
        <f>SUM(E71:E71)</f>
        <v>4040.6399999999994</v>
      </c>
      <c r="F72" s="119"/>
      <c r="G72" s="119"/>
    </row>
    <row r="73" spans="2:7" ht="15.75" thickTop="1" x14ac:dyDescent="0.25">
      <c r="F73" s="119"/>
      <c r="G73" s="119"/>
    </row>
    <row r="74" spans="2:7" x14ac:dyDescent="0.25">
      <c r="B74" s="14"/>
      <c r="C74" s="17"/>
      <c r="D74" s="18"/>
      <c r="E74" s="163"/>
      <c r="F74" s="119"/>
      <c r="G74" s="119"/>
    </row>
    <row r="75" spans="2:7" x14ac:dyDescent="0.25">
      <c r="F75" s="119"/>
      <c r="G75" s="119"/>
    </row>
    <row r="76" spans="2:7" ht="20.25" thickBot="1" x14ac:dyDescent="0.3">
      <c r="B76" s="13" t="s">
        <v>5</v>
      </c>
      <c r="C76" s="15"/>
      <c r="D76" s="16"/>
      <c r="E76" s="160"/>
      <c r="F76" s="119"/>
      <c r="G76" s="119"/>
    </row>
    <row r="77" spans="2:7" ht="15.75" thickTop="1" x14ac:dyDescent="0.25">
      <c r="F77" s="119"/>
      <c r="G77" s="119"/>
    </row>
    <row r="78" spans="2:7" ht="30" x14ac:dyDescent="0.25">
      <c r="B78" s="11"/>
      <c r="C78" s="12" t="s">
        <v>33</v>
      </c>
      <c r="D78" s="12" t="s">
        <v>25</v>
      </c>
      <c r="E78" s="161" t="s">
        <v>209</v>
      </c>
      <c r="F78" s="119"/>
      <c r="G78" s="119"/>
    </row>
    <row r="79" spans="2:7" x14ac:dyDescent="0.25">
      <c r="B79" s="119" t="s">
        <v>5</v>
      </c>
      <c r="C79" s="22">
        <f>'Input Values Data'!$E$29</f>
        <v>885</v>
      </c>
      <c r="D79" s="23">
        <f>'Input Values Data'!$E$88</f>
        <v>17</v>
      </c>
      <c r="E79" s="146">
        <f>C79*D79</f>
        <v>15045</v>
      </c>
      <c r="F79" s="119"/>
      <c r="G79" s="119"/>
    </row>
    <row r="80" spans="2:7" ht="15.75" thickBot="1" x14ac:dyDescent="0.3">
      <c r="B80" s="8" t="s">
        <v>107</v>
      </c>
      <c r="C80" s="9">
        <f>SUM(C79:C79)</f>
        <v>885</v>
      </c>
      <c r="D80" s="10"/>
      <c r="E80" s="162">
        <f>SUM(E79:E79)</f>
        <v>15045</v>
      </c>
      <c r="F80" s="119"/>
      <c r="G80" s="119"/>
    </row>
    <row r="81" spans="2:7" ht="15.75" thickTop="1" x14ac:dyDescent="0.25">
      <c r="F81" s="119"/>
      <c r="G81" s="119"/>
    </row>
    <row r="82" spans="2:7" x14ac:dyDescent="0.25">
      <c r="B82" s="27"/>
      <c r="C82" s="28"/>
      <c r="D82" s="29"/>
      <c r="E82" s="164"/>
      <c r="F82" s="119"/>
      <c r="G82" s="119"/>
    </row>
    <row r="83" spans="2:7" x14ac:dyDescent="0.25"/>
    <row r="84" spans="2:7" ht="20.25" thickBot="1" x14ac:dyDescent="0.3">
      <c r="B84" s="24" t="s">
        <v>34</v>
      </c>
      <c r="C84" s="25"/>
      <c r="D84" s="26"/>
      <c r="E84" s="145"/>
      <c r="F84" s="145"/>
      <c r="G84" s="119"/>
    </row>
    <row r="85" spans="2:7" ht="15.75" thickTop="1" x14ac:dyDescent="0.25">
      <c r="G85" s="119"/>
    </row>
    <row r="86" spans="2:7" x14ac:dyDescent="0.25">
      <c r="B86" s="31"/>
      <c r="C86" s="30" t="s">
        <v>115</v>
      </c>
      <c r="D86" s="30"/>
      <c r="E86" s="165" t="s">
        <v>209</v>
      </c>
      <c r="F86" s="119"/>
      <c r="G86" s="119"/>
    </row>
    <row r="87" spans="2:7" x14ac:dyDescent="0.25">
      <c r="B87" s="119" t="s">
        <v>1</v>
      </c>
      <c r="C87" s="6">
        <f>SUM(C8,C14,C18,C22,C26,C30,C35,C45)</f>
        <v>6648169</v>
      </c>
      <c r="E87" s="146">
        <f>SUM(E8,E14,E18,E22,E26,E30,E35,E45)</f>
        <v>78827398.34838298</v>
      </c>
      <c r="F87" s="119"/>
      <c r="G87" s="119"/>
    </row>
    <row r="88" spans="2:7" x14ac:dyDescent="0.25">
      <c r="B88" s="119" t="s">
        <v>35</v>
      </c>
      <c r="C88" s="6">
        <f>SUM(C56)</f>
        <v>679380</v>
      </c>
      <c r="E88" s="146">
        <f>E56</f>
        <v>648128.52</v>
      </c>
      <c r="F88" s="119"/>
      <c r="G88" s="119"/>
    </row>
    <row r="89" spans="2:7" x14ac:dyDescent="0.25">
      <c r="B89" s="119" t="s">
        <v>105</v>
      </c>
      <c r="C89" s="6">
        <f>SUM(C64)</f>
        <v>1265400.147209933</v>
      </c>
      <c r="E89" s="146">
        <f>E64</f>
        <v>1746252.2031497075</v>
      </c>
      <c r="F89" s="119"/>
      <c r="G89" s="119"/>
    </row>
    <row r="90" spans="2:7" x14ac:dyDescent="0.25">
      <c r="B90" s="119" t="s">
        <v>32</v>
      </c>
      <c r="C90" s="6">
        <f>SUM(C72)</f>
        <v>2928</v>
      </c>
      <c r="E90" s="146">
        <f>E72</f>
        <v>4040.6399999999994</v>
      </c>
      <c r="F90" s="119"/>
      <c r="G90" s="119"/>
    </row>
    <row r="91" spans="2:7" x14ac:dyDescent="0.25">
      <c r="B91" s="39" t="s">
        <v>36</v>
      </c>
      <c r="C91" s="40">
        <f>SUM(C80)</f>
        <v>885</v>
      </c>
      <c r="D91" s="41"/>
      <c r="E91" s="166">
        <f>E79</f>
        <v>15045</v>
      </c>
      <c r="F91" s="119"/>
      <c r="G91" s="119"/>
    </row>
    <row r="92" spans="2:7" ht="15.75" thickBot="1" x14ac:dyDescent="0.3">
      <c r="B92" s="45" t="s">
        <v>37</v>
      </c>
      <c r="C92" s="176">
        <f>SUM(C87:C91)</f>
        <v>8596762.147209933</v>
      </c>
      <c r="D92" s="47"/>
      <c r="E92" s="167">
        <f>SUM(E87:E91)</f>
        <v>81240864.711532682</v>
      </c>
      <c r="F92" s="119"/>
      <c r="G92" s="119"/>
    </row>
    <row r="93" spans="2:7" ht="15.75" thickTop="1" x14ac:dyDescent="0.25">
      <c r="F93" s="119"/>
      <c r="G93" s="119"/>
    </row>
    <row r="94" spans="2:7" hidden="1" x14ac:dyDescent="0.25">
      <c r="F94" s="119"/>
      <c r="G94" s="119"/>
    </row>
    <row r="95" spans="2:7" hidden="1" x14ac:dyDescent="0.25"/>
  </sheetData>
  <mergeCells count="1">
    <mergeCell ref="G53:G55"/>
  </mergeCells>
  <pageMargins left="0.7" right="0.7" top="0.75" bottom="0.75" header="0.3" footer="0.3"/>
  <pageSetup fitToHeight="0" orientation="portrait" r:id="rId1"/>
  <headerFooter>
    <oddHeader>&amp;F</oddHeader>
    <oddFooter>&amp;A&amp;RPage &amp;P</oddFooter>
  </headerFooter>
  <rowBreaks count="3" manualBreakCount="3">
    <brk id="23" min="1" max="5" man="1"/>
    <brk id="48" min="1" max="5" man="1"/>
    <brk id="75"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showGridLines="0" showRowColHeaders="0" tabSelected="1" zoomScaleNormal="100" workbookViewId="0"/>
  </sheetViews>
  <sheetFormatPr defaultColWidth="0" defaultRowHeight="15" zeroHeight="1" x14ac:dyDescent="0.25"/>
  <cols>
    <col min="1" max="1" width="3.5" style="4" customWidth="1"/>
    <col min="2" max="2" width="25.625" style="4" customWidth="1"/>
    <col min="3" max="3" width="17.375" style="6" customWidth="1"/>
    <col min="4" max="4" width="10.125" style="7" customWidth="1"/>
    <col min="5" max="5" width="19.75" style="7" customWidth="1"/>
    <col min="6" max="6" width="9.875" style="4" customWidth="1"/>
    <col min="7" max="16384" width="9" style="4" hidden="1"/>
  </cols>
  <sheetData>
    <row r="1" spans="2:5" x14ac:dyDescent="0.25"/>
    <row r="2" spans="2:5" ht="20.25" thickBot="1" x14ac:dyDescent="0.3">
      <c r="B2" s="24" t="s">
        <v>49</v>
      </c>
      <c r="C2" s="25"/>
      <c r="D2" s="26"/>
      <c r="E2" s="26"/>
    </row>
    <row r="3" spans="2:5" ht="15.75" thickTop="1" x14ac:dyDescent="0.25"/>
    <row r="4" spans="2:5" ht="30" x14ac:dyDescent="0.25">
      <c r="B4" s="31"/>
      <c r="C4" s="30" t="s">
        <v>53</v>
      </c>
      <c r="D4" s="30" t="s">
        <v>25</v>
      </c>
      <c r="E4" s="30" t="s">
        <v>209</v>
      </c>
    </row>
    <row r="5" spans="2:5" x14ac:dyDescent="0.25">
      <c r="B5" s="4" t="s">
        <v>50</v>
      </c>
      <c r="C5" s="22">
        <f>'Input Values Data'!E30</f>
        <v>48967</v>
      </c>
      <c r="D5" s="23">
        <f>'Input Values Data'!E89</f>
        <v>20.76</v>
      </c>
      <c r="E5" s="146">
        <f t="shared" ref="E5:E10" si="0">C5*D5</f>
        <v>1016554.92</v>
      </c>
    </row>
    <row r="6" spans="2:5" x14ac:dyDescent="0.25">
      <c r="B6" s="4" t="s">
        <v>51</v>
      </c>
      <c r="C6" s="22">
        <f>'Input Values Data'!E31</f>
        <v>78116</v>
      </c>
      <c r="D6" s="23">
        <f>'Input Values Data'!E90</f>
        <v>20.76</v>
      </c>
      <c r="E6" s="146">
        <f t="shared" si="0"/>
        <v>1621688.1600000001</v>
      </c>
    </row>
    <row r="7" spans="2:5" x14ac:dyDescent="0.25">
      <c r="B7" s="4" t="s">
        <v>12</v>
      </c>
      <c r="C7" s="22">
        <f>'Input Values Data'!E32</f>
        <v>4857</v>
      </c>
      <c r="D7" s="23">
        <f>'Input Values Data'!E91</f>
        <v>34.49</v>
      </c>
      <c r="E7" s="146">
        <f t="shared" si="0"/>
        <v>167517.93000000002</v>
      </c>
    </row>
    <row r="8" spans="2:5" x14ac:dyDescent="0.25">
      <c r="B8" s="4" t="s">
        <v>11</v>
      </c>
      <c r="C8" s="22">
        <f>'Input Values Data'!E33</f>
        <v>46410</v>
      </c>
      <c r="D8" s="23">
        <f>'Input Values Data'!E92</f>
        <v>45.52</v>
      </c>
      <c r="E8" s="146">
        <f t="shared" si="0"/>
        <v>2112583.2000000002</v>
      </c>
    </row>
    <row r="9" spans="2:5" x14ac:dyDescent="0.25">
      <c r="B9" s="4" t="s">
        <v>52</v>
      </c>
      <c r="C9" s="22">
        <f>'Input Values Data'!E34</f>
        <v>502</v>
      </c>
      <c r="D9" s="23">
        <f>'Input Values Data'!E93</f>
        <v>132.5</v>
      </c>
      <c r="E9" s="146">
        <f t="shared" si="0"/>
        <v>66515</v>
      </c>
    </row>
    <row r="10" spans="2:5" x14ac:dyDescent="0.25">
      <c r="B10" s="39" t="s">
        <v>54</v>
      </c>
      <c r="C10" s="50">
        <f>'Input Values Data'!E35</f>
        <v>2669</v>
      </c>
      <c r="D10" s="48">
        <f>'Input Values Data'!E94</f>
        <v>30.5</v>
      </c>
      <c r="E10" s="166">
        <f t="shared" si="0"/>
        <v>81404.5</v>
      </c>
    </row>
    <row r="11" spans="2:5" ht="15.75" thickBot="1" x14ac:dyDescent="0.3">
      <c r="B11" s="45" t="s">
        <v>63</v>
      </c>
      <c r="C11" s="46">
        <f>SUM(C5:C10)</f>
        <v>181521</v>
      </c>
      <c r="D11" s="47"/>
      <c r="E11" s="167">
        <f>SUM(E5:E10)</f>
        <v>5066263.7100000009</v>
      </c>
    </row>
    <row r="12" spans="2:5" ht="15.75" thickTop="1" x14ac:dyDescent="0.25"/>
    <row r="13" spans="2:5" x14ac:dyDescent="0.25"/>
    <row r="14" spans="2:5" hidden="1" x14ac:dyDescent="0.25"/>
    <row r="15" spans="2:5" hidden="1" x14ac:dyDescent="0.25"/>
    <row r="16" spans="2: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spans="2:5" hidden="1" x14ac:dyDescent="0.25"/>
    <row r="50" spans="2:5" hidden="1" x14ac:dyDescent="0.25"/>
    <row r="51" spans="2:5" hidden="1" x14ac:dyDescent="0.25"/>
    <row r="52" spans="2:5" hidden="1" x14ac:dyDescent="0.25"/>
    <row r="53" spans="2:5" hidden="1" x14ac:dyDescent="0.25"/>
    <row r="54" spans="2:5" hidden="1" x14ac:dyDescent="0.25">
      <c r="B54" s="4" t="s">
        <v>179</v>
      </c>
      <c r="E54" s="32"/>
    </row>
    <row r="55" spans="2:5" hidden="1" x14ac:dyDescent="0.25">
      <c r="E55" s="32"/>
    </row>
    <row r="56" spans="2:5" hidden="1" x14ac:dyDescent="0.25">
      <c r="E56" s="32"/>
    </row>
    <row r="57" spans="2:5" hidden="1" x14ac:dyDescent="0.25">
      <c r="E57" s="32"/>
    </row>
  </sheetData>
  <pageMargins left="0.7" right="0.7" top="0.75" bottom="0.75" header="0.3" footer="0.3"/>
  <pageSetup fitToHeight="0" orientation="portrait" r:id="rId1"/>
  <headerFooter>
    <oddHeader>&amp;F</oddHead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showGridLines="0" showRowColHeaders="0" tabSelected="1" zoomScaleNormal="100" workbookViewId="0"/>
  </sheetViews>
  <sheetFormatPr defaultColWidth="0" defaultRowHeight="15" zeroHeight="1" x14ac:dyDescent="0.25"/>
  <cols>
    <col min="1" max="1" width="3.5" style="4" customWidth="1"/>
    <col min="2" max="2" width="25.625" style="4" customWidth="1"/>
    <col min="3" max="3" width="17.375" style="6" customWidth="1"/>
    <col min="4" max="4" width="10.125" style="7" customWidth="1"/>
    <col min="5" max="5" width="19.75" style="7" customWidth="1"/>
    <col min="6" max="6" width="9.875" style="4" customWidth="1"/>
    <col min="7" max="16384" width="9" style="4" hidden="1"/>
  </cols>
  <sheetData>
    <row r="1" spans="2:5" x14ac:dyDescent="0.25"/>
    <row r="2" spans="2:5" ht="20.25" thickBot="1" x14ac:dyDescent="0.3">
      <c r="B2" s="24" t="s">
        <v>55</v>
      </c>
      <c r="C2" s="25"/>
      <c r="D2" s="26"/>
      <c r="E2" s="26"/>
    </row>
    <row r="3" spans="2:5" ht="15.75" thickTop="1" x14ac:dyDescent="0.25"/>
    <row r="4" spans="2:5" ht="30" x14ac:dyDescent="0.25">
      <c r="B4" s="31"/>
      <c r="C4" s="30" t="s">
        <v>56</v>
      </c>
      <c r="D4" s="30" t="s">
        <v>25</v>
      </c>
      <c r="E4" s="30" t="s">
        <v>209</v>
      </c>
    </row>
    <row r="5" spans="2:5" x14ac:dyDescent="0.25">
      <c r="B5" s="4" t="s">
        <v>57</v>
      </c>
      <c r="C5" s="22">
        <f>'Input Values Data'!E36</f>
        <v>260500</v>
      </c>
      <c r="D5" s="23">
        <f>'Input Values Data'!E95</f>
        <v>10</v>
      </c>
      <c r="E5" s="146">
        <f>C5*D5</f>
        <v>2605000</v>
      </c>
    </row>
    <row r="6" spans="2:5" x14ac:dyDescent="0.25">
      <c r="B6" s="158" t="s">
        <v>58</v>
      </c>
      <c r="C6" s="22">
        <f>'Input Values Data'!E37</f>
        <v>254200</v>
      </c>
      <c r="D6" s="23">
        <f>'Input Values Data'!E96</f>
        <v>25</v>
      </c>
      <c r="E6" s="146">
        <f>C6*D6</f>
        <v>6355000</v>
      </c>
    </row>
    <row r="7" spans="2:5" s="158" customFormat="1" x14ac:dyDescent="0.25">
      <c r="B7" s="39" t="s">
        <v>190</v>
      </c>
      <c r="C7" s="50">
        <f>'Input Values Data'!$E$38</f>
        <v>2278</v>
      </c>
      <c r="D7" s="48">
        <f>'Input Values Data'!$E$97</f>
        <v>25</v>
      </c>
      <c r="E7" s="166">
        <f>C7*D7</f>
        <v>56950</v>
      </c>
    </row>
    <row r="8" spans="2:5" ht="15.75" thickBot="1" x14ac:dyDescent="0.3">
      <c r="B8" s="45" t="s">
        <v>108</v>
      </c>
      <c r="C8" s="46">
        <f>SUM(C5:C7)</f>
        <v>516978</v>
      </c>
      <c r="D8" s="47"/>
      <c r="E8" s="167">
        <f t="shared" ref="E8" si="0">SUM(E5:E7)</f>
        <v>9016950</v>
      </c>
    </row>
    <row r="9" spans="2:5" ht="15.75" thickTop="1" x14ac:dyDescent="0.25"/>
    <row r="10" spans="2:5" hidden="1" x14ac:dyDescent="0.25"/>
    <row r="11" spans="2:5" hidden="1" x14ac:dyDescent="0.25"/>
    <row r="12" spans="2:5" hidden="1" x14ac:dyDescent="0.25"/>
    <row r="13" spans="2:5" hidden="1" x14ac:dyDescent="0.25"/>
    <row r="14" spans="2:5" hidden="1" x14ac:dyDescent="0.25"/>
    <row r="15" spans="2:5" hidden="1" x14ac:dyDescent="0.25"/>
    <row r="16" spans="2: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spans="5:5" hidden="1" x14ac:dyDescent="0.25"/>
    <row r="50" spans="5:5" hidden="1" x14ac:dyDescent="0.25"/>
    <row r="51" spans="5:5" hidden="1" x14ac:dyDescent="0.25"/>
    <row r="52" spans="5:5" hidden="1" x14ac:dyDescent="0.25"/>
    <row r="53" spans="5:5" hidden="1" x14ac:dyDescent="0.25"/>
    <row r="54" spans="5:5" hidden="1" x14ac:dyDescent="0.25"/>
    <row r="55" spans="5:5" hidden="1" x14ac:dyDescent="0.25">
      <c r="E55" s="32"/>
    </row>
    <row r="56" spans="5:5" hidden="1" x14ac:dyDescent="0.25">
      <c r="E56" s="32"/>
    </row>
    <row r="57" spans="5:5" hidden="1" x14ac:dyDescent="0.25">
      <c r="E57" s="32"/>
    </row>
    <row r="58" spans="5:5" hidden="1" x14ac:dyDescent="0.25">
      <c r="E58" s="32"/>
    </row>
  </sheetData>
  <pageMargins left="0.7" right="0.7" top="0.75" bottom="0.75" header="0.3" footer="0.3"/>
  <pageSetup fitToHeight="0" orientation="portrait" r:id="rId1"/>
  <headerFooter>
    <oddHeader>&amp;F</oddHead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showGridLines="0" tabSelected="1" zoomScaleNormal="100" workbookViewId="0"/>
  </sheetViews>
  <sheetFormatPr defaultColWidth="0" defaultRowHeight="15" zeroHeight="1" x14ac:dyDescent="0.25"/>
  <cols>
    <col min="1" max="1" width="3.5" style="4" customWidth="1"/>
    <col min="2" max="2" width="25.625" style="4" customWidth="1"/>
    <col min="3" max="3" width="17.375" style="6" customWidth="1"/>
    <col min="4" max="4" width="10.125" style="7" customWidth="1"/>
    <col min="5" max="5" width="19.75" style="7" customWidth="1"/>
    <col min="6" max="6" width="5.125" style="7" customWidth="1"/>
    <col min="7" max="7" width="19.75" style="7" hidden="1" customWidth="1"/>
    <col min="8" max="8" width="9.875" style="4" hidden="1" customWidth="1"/>
    <col min="9" max="16384" width="9" style="4" hidden="1"/>
  </cols>
  <sheetData>
    <row r="1" spans="1:7" x14ac:dyDescent="0.25">
      <c r="F1" s="4"/>
      <c r="G1" s="4"/>
    </row>
    <row r="2" spans="1:7" ht="20.25" thickBot="1" x14ac:dyDescent="0.3">
      <c r="B2" s="13" t="s">
        <v>47</v>
      </c>
      <c r="C2" s="15"/>
      <c r="D2" s="16"/>
      <c r="E2" s="16"/>
      <c r="F2" s="4"/>
      <c r="G2" s="4"/>
    </row>
    <row r="3" spans="1:7" ht="15.75" thickTop="1" x14ac:dyDescent="0.25">
      <c r="F3" s="4"/>
      <c r="G3" s="4"/>
    </row>
    <row r="4" spans="1:7" s="5" customFormat="1" ht="30" x14ac:dyDescent="0.25">
      <c r="B4" s="11" t="s">
        <v>48</v>
      </c>
      <c r="C4" s="12" t="s">
        <v>40</v>
      </c>
      <c r="D4" s="12" t="s">
        <v>64</v>
      </c>
      <c r="E4" s="12" t="s">
        <v>209</v>
      </c>
    </row>
    <row r="5" spans="1:7" x14ac:dyDescent="0.25">
      <c r="B5" s="4" t="s">
        <v>39</v>
      </c>
      <c r="C5" s="22">
        <f>'Input Values Data'!E39</f>
        <v>806925</v>
      </c>
      <c r="D5" s="23">
        <f>'Input Values Data'!E98</f>
        <v>1.59</v>
      </c>
      <c r="E5" s="146">
        <f>C5*D5</f>
        <v>1283010.75</v>
      </c>
      <c r="F5" s="4"/>
      <c r="G5" s="4"/>
    </row>
    <row r="6" spans="1:7" x14ac:dyDescent="0.25">
      <c r="B6" s="4" t="s">
        <v>41</v>
      </c>
      <c r="C6" s="22">
        <f>'Input Values Data'!E40</f>
        <v>1149739</v>
      </c>
      <c r="D6" s="23">
        <f>'Input Values Data'!E99</f>
        <v>1.59</v>
      </c>
      <c r="E6" s="146">
        <f>C6*D6</f>
        <v>1828085.01</v>
      </c>
      <c r="F6" s="4"/>
      <c r="G6" s="4"/>
    </row>
    <row r="7" spans="1:7" x14ac:dyDescent="0.25">
      <c r="B7" s="4" t="s">
        <v>65</v>
      </c>
      <c r="C7" s="22">
        <f>'Input Values Data'!E41</f>
        <v>237560</v>
      </c>
      <c r="D7" s="23">
        <f>'Input Values Data'!E100</f>
        <v>0.1</v>
      </c>
      <c r="E7" s="146">
        <f>C7*D7</f>
        <v>23756</v>
      </c>
      <c r="F7" s="4"/>
      <c r="G7" s="4"/>
    </row>
    <row r="8" spans="1:7" ht="15.75" thickBot="1" x14ac:dyDescent="0.3">
      <c r="B8" s="8" t="s">
        <v>4</v>
      </c>
      <c r="C8" s="9">
        <f>SUM(C5:C7)</f>
        <v>2194224</v>
      </c>
      <c r="D8" s="10"/>
      <c r="E8" s="162">
        <f>SUM(E5:E7)</f>
        <v>3134851.76</v>
      </c>
      <c r="F8" s="4"/>
      <c r="G8" s="4"/>
    </row>
    <row r="9" spans="1:7" ht="15.75" thickTop="1" x14ac:dyDescent="0.25">
      <c r="E9" s="146"/>
      <c r="F9" s="4"/>
      <c r="G9" s="4"/>
    </row>
    <row r="10" spans="1:7" ht="30" x14ac:dyDescent="0.25">
      <c r="B10" s="11" t="s">
        <v>38</v>
      </c>
      <c r="C10" s="12" t="s">
        <v>40</v>
      </c>
      <c r="D10" s="12" t="s">
        <v>25</v>
      </c>
      <c r="E10" s="12" t="s">
        <v>209</v>
      </c>
      <c r="F10" s="4"/>
      <c r="G10" s="4"/>
    </row>
    <row r="11" spans="1:7" x14ac:dyDescent="0.25">
      <c r="A11" s="158"/>
      <c r="B11" s="4" t="s">
        <v>42</v>
      </c>
      <c r="C11" s="22">
        <f>'Input Values Data'!E43</f>
        <v>569</v>
      </c>
      <c r="D11" s="23">
        <f>'Input Values Data'!E102</f>
        <v>11.25</v>
      </c>
      <c r="E11" s="146">
        <f>C11*D11</f>
        <v>6401.25</v>
      </c>
      <c r="F11" s="4"/>
      <c r="G11" s="4"/>
    </row>
    <row r="12" spans="1:7" x14ac:dyDescent="0.25">
      <c r="A12" s="158"/>
      <c r="B12" s="4" t="s">
        <v>43</v>
      </c>
      <c r="C12" s="22">
        <f>'Input Values Data'!E44</f>
        <v>357</v>
      </c>
      <c r="D12" s="23">
        <f>'Input Values Data'!E103</f>
        <v>17.39</v>
      </c>
      <c r="E12" s="146">
        <f t="shared" ref="E12:E18" si="0">C12*D12</f>
        <v>6208.2300000000005</v>
      </c>
      <c r="F12" s="4"/>
      <c r="G12" s="4"/>
    </row>
    <row r="13" spans="1:7" x14ac:dyDescent="0.25">
      <c r="A13" s="158"/>
      <c r="B13" s="4" t="s">
        <v>155</v>
      </c>
      <c r="C13" s="22">
        <f>'Input Values Data'!E45</f>
        <v>160</v>
      </c>
      <c r="D13" s="23">
        <f>'Input Values Data'!E104</f>
        <v>11.224285714285713</v>
      </c>
      <c r="E13" s="146">
        <f t="shared" si="0"/>
        <v>1795.8857142857141</v>
      </c>
      <c r="F13" s="4"/>
      <c r="G13" s="4"/>
    </row>
    <row r="14" spans="1:7" x14ac:dyDescent="0.25">
      <c r="A14" s="158"/>
      <c r="B14" s="4" t="s">
        <v>44</v>
      </c>
      <c r="C14" s="22">
        <f>'Input Values Data'!E46</f>
        <v>858</v>
      </c>
      <c r="D14" s="23">
        <f>'Input Values Data'!E105</f>
        <v>8.73</v>
      </c>
      <c r="E14" s="146">
        <f t="shared" si="0"/>
        <v>7490.34</v>
      </c>
      <c r="F14" s="4"/>
      <c r="G14" s="4"/>
    </row>
    <row r="15" spans="1:7" x14ac:dyDescent="0.25">
      <c r="A15" s="158"/>
      <c r="B15" s="4" t="s">
        <v>45</v>
      </c>
      <c r="C15" s="22">
        <f>'Input Values Data'!E47</f>
        <v>1165</v>
      </c>
      <c r="D15" s="23">
        <f>'Input Values Data'!E106</f>
        <v>0.33</v>
      </c>
      <c r="E15" s="146">
        <f t="shared" si="0"/>
        <v>384.45000000000005</v>
      </c>
      <c r="F15" s="4"/>
      <c r="G15" s="4"/>
    </row>
    <row r="16" spans="1:7" x14ac:dyDescent="0.25">
      <c r="A16" s="158"/>
      <c r="B16" s="4" t="s">
        <v>46</v>
      </c>
      <c r="C16" s="22">
        <f>'Input Values Data'!E48</f>
        <v>110</v>
      </c>
      <c r="D16" s="23">
        <f>'Input Values Data'!E107</f>
        <v>2</v>
      </c>
      <c r="E16" s="146">
        <f t="shared" si="0"/>
        <v>220</v>
      </c>
      <c r="F16" s="4"/>
      <c r="G16" s="4"/>
    </row>
    <row r="17" spans="1:7" x14ac:dyDescent="0.25">
      <c r="A17" s="158"/>
      <c r="B17" s="4" t="s">
        <v>157</v>
      </c>
      <c r="C17" s="22">
        <f>'Input Values Data'!E49</f>
        <v>111</v>
      </c>
      <c r="D17" s="23">
        <f>'Input Values Data'!E108</f>
        <v>8.4873809523809527</v>
      </c>
      <c r="E17" s="146">
        <f t="shared" si="0"/>
        <v>942.09928571428577</v>
      </c>
      <c r="F17" s="4"/>
      <c r="G17" s="4"/>
    </row>
    <row r="18" spans="1:7" x14ac:dyDescent="0.25">
      <c r="A18" s="158"/>
      <c r="B18" s="4" t="s">
        <v>156</v>
      </c>
      <c r="C18" s="22">
        <f>'Input Values Data'!E50</f>
        <v>252</v>
      </c>
      <c r="D18" s="23">
        <f>'Input Values Data'!E109</f>
        <v>8.4873809523809527</v>
      </c>
      <c r="E18" s="146">
        <f t="shared" si="0"/>
        <v>2138.8200000000002</v>
      </c>
      <c r="F18" s="4"/>
      <c r="G18" s="4"/>
    </row>
    <row r="19" spans="1:7" ht="15.75" thickBot="1" x14ac:dyDescent="0.3">
      <c r="A19" s="158"/>
      <c r="B19" s="8" t="s">
        <v>4</v>
      </c>
      <c r="C19" s="9">
        <f>SUM(C11:C18)</f>
        <v>3582</v>
      </c>
      <c r="D19" s="10"/>
      <c r="E19" s="162">
        <f>SUM(E11:E18)</f>
        <v>25581.075000000001</v>
      </c>
      <c r="F19" s="4"/>
      <c r="G19" s="4"/>
    </row>
    <row r="20" spans="1:7" ht="15.75" thickTop="1" x14ac:dyDescent="0.25">
      <c r="E20" s="146"/>
      <c r="F20" s="4"/>
      <c r="G20" s="4"/>
    </row>
    <row r="21" spans="1:7" ht="30" x14ac:dyDescent="0.25">
      <c r="B21" s="11" t="s">
        <v>191</v>
      </c>
      <c r="C21" s="12" t="s">
        <v>24</v>
      </c>
      <c r="D21" s="12" t="s">
        <v>25</v>
      </c>
      <c r="E21" s="12" t="s">
        <v>209</v>
      </c>
      <c r="F21" s="4"/>
      <c r="G21" s="4"/>
    </row>
    <row r="22" spans="1:7" x14ac:dyDescent="0.25">
      <c r="B22" s="4" t="s">
        <v>192</v>
      </c>
      <c r="C22" s="22">
        <f>'Input Values Data'!$E$42</f>
        <v>1129548.022964177</v>
      </c>
      <c r="D22" s="23">
        <f>'Input Values Data'!$E$101</f>
        <v>0.17</v>
      </c>
      <c r="E22" s="146">
        <f>C22*D22</f>
        <v>192023.16390391008</v>
      </c>
      <c r="F22" s="4"/>
      <c r="G22" s="4"/>
    </row>
    <row r="23" spans="1:7" ht="15.75" thickBot="1" x14ac:dyDescent="0.3">
      <c r="B23" s="8" t="s">
        <v>4</v>
      </c>
      <c r="C23" s="9">
        <f>SUM(C22)</f>
        <v>1129548.022964177</v>
      </c>
      <c r="D23" s="10"/>
      <c r="E23" s="162">
        <f>SUM(E22)</f>
        <v>192023.16390391008</v>
      </c>
      <c r="F23" s="4"/>
      <c r="G23" s="4"/>
    </row>
    <row r="24" spans="1:7" ht="15.75" thickTop="1" x14ac:dyDescent="0.25">
      <c r="E24" s="146"/>
      <c r="F24" s="4"/>
      <c r="G24" s="4"/>
    </row>
    <row r="25" spans="1:7" x14ac:dyDescent="0.25">
      <c r="B25" s="27"/>
      <c r="C25" s="28"/>
      <c r="D25" s="29"/>
      <c r="E25" s="164"/>
      <c r="F25" s="4"/>
      <c r="G25" s="4"/>
    </row>
    <row r="26" spans="1:7" x14ac:dyDescent="0.25">
      <c r="E26" s="146"/>
      <c r="F26" s="4"/>
      <c r="G26" s="4"/>
    </row>
    <row r="27" spans="1:7" ht="20.25" thickBot="1" x14ac:dyDescent="0.3">
      <c r="B27" s="24" t="s">
        <v>59</v>
      </c>
      <c r="C27" s="25"/>
      <c r="D27" s="26"/>
      <c r="E27" s="145"/>
      <c r="F27" s="4"/>
      <c r="G27" s="4"/>
    </row>
    <row r="28" spans="1:7" ht="15.75" thickTop="1" x14ac:dyDescent="0.25">
      <c r="E28" s="146"/>
      <c r="F28" s="4"/>
      <c r="G28" s="4"/>
    </row>
    <row r="29" spans="1:7" x14ac:dyDescent="0.25">
      <c r="B29" s="31"/>
      <c r="C29" s="30"/>
      <c r="D29" s="30"/>
      <c r="E29" s="165" t="s">
        <v>209</v>
      </c>
      <c r="F29" s="4"/>
      <c r="G29" s="4"/>
    </row>
    <row r="30" spans="1:7" x14ac:dyDescent="0.25">
      <c r="B30" s="4" t="s">
        <v>61</v>
      </c>
      <c r="C30" s="6">
        <f>C8+C23</f>
        <v>3323772.0229641767</v>
      </c>
      <c r="E30" s="146">
        <f>SUM(E8,E23)</f>
        <v>3326874.92390391</v>
      </c>
      <c r="F30" s="4"/>
      <c r="G30" s="4"/>
    </row>
    <row r="31" spans="1:7" x14ac:dyDescent="0.25">
      <c r="B31" s="4" t="s">
        <v>62</v>
      </c>
      <c r="C31" s="6">
        <f>C19</f>
        <v>3582</v>
      </c>
      <c r="E31" s="146">
        <f>SUM(E19)</f>
        <v>25581.075000000001</v>
      </c>
      <c r="F31" s="4"/>
      <c r="G31" s="4"/>
    </row>
    <row r="32" spans="1:7" ht="15.75" thickBot="1" x14ac:dyDescent="0.3">
      <c r="B32" s="45" t="s">
        <v>60</v>
      </c>
      <c r="C32" s="46">
        <f>SUM(C30:C31)</f>
        <v>3327354.0229641767</v>
      </c>
      <c r="D32" s="47"/>
      <c r="E32" s="167">
        <f>SUM(E30:E31)</f>
        <v>3352455.9989039102</v>
      </c>
      <c r="F32" s="4"/>
      <c r="G32" s="4"/>
    </row>
    <row r="33" ht="15.75" thickTop="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spans="7:7" hidden="1" x14ac:dyDescent="0.25"/>
    <row r="50" spans="7:7" hidden="1" x14ac:dyDescent="0.25"/>
    <row r="51" spans="7:7" hidden="1" x14ac:dyDescent="0.25"/>
    <row r="52" spans="7:7" hidden="1" x14ac:dyDescent="0.25">
      <c r="G52" s="32"/>
    </row>
    <row r="53" spans="7:7" hidden="1" x14ac:dyDescent="0.25">
      <c r="G53" s="32"/>
    </row>
    <row r="54" spans="7:7" hidden="1" x14ac:dyDescent="0.25">
      <c r="G54" s="32"/>
    </row>
    <row r="55" spans="7:7" hidden="1" x14ac:dyDescent="0.25">
      <c r="G55" s="32"/>
    </row>
    <row r="56" spans="7:7" x14ac:dyDescent="0.25"/>
  </sheetData>
  <pageMargins left="0.7" right="0.7" top="0.75" bottom="0.75" header="0.3" footer="0.3"/>
  <pageSetup fitToHeight="0" orientation="portrait" r:id="rId1"/>
  <headerFooter>
    <oddHeader>&amp;F</oddHeader>
    <oddFooter>&amp;A&amp;RPage &amp;P</oddFooter>
  </headerFooter>
  <rowBreaks count="1" manualBreakCount="1">
    <brk id="26" min="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showGridLines="0" showRowColHeaders="0" tabSelected="1" zoomScaleNormal="100" workbookViewId="0"/>
  </sheetViews>
  <sheetFormatPr defaultColWidth="0" defaultRowHeight="15" zeroHeight="1" x14ac:dyDescent="0.25"/>
  <cols>
    <col min="1" max="1" width="3.5" style="4" customWidth="1"/>
    <col min="2" max="2" width="25.625" style="4" customWidth="1"/>
    <col min="3" max="3" width="17.375" style="6" customWidth="1"/>
    <col min="4" max="4" width="10.125" style="7" customWidth="1"/>
    <col min="5" max="8" width="18.125" style="7" customWidth="1"/>
    <col min="9" max="9" width="3.75" style="4" customWidth="1"/>
    <col min="10" max="16384" width="9" style="4" hidden="1"/>
  </cols>
  <sheetData>
    <row r="1" spans="2:8" x14ac:dyDescent="0.25">
      <c r="G1" s="4"/>
      <c r="H1" s="4"/>
    </row>
    <row r="2" spans="2:8" ht="20.25" thickBot="1" x14ac:dyDescent="0.3">
      <c r="B2" s="24" t="s">
        <v>85</v>
      </c>
      <c r="C2" s="25"/>
      <c r="D2" s="26"/>
      <c r="E2" s="26"/>
      <c r="F2" s="26"/>
      <c r="G2" s="26"/>
      <c r="H2" s="26"/>
    </row>
    <row r="3" spans="2:8" ht="16.5" thickTop="1" thickBot="1" x14ac:dyDescent="0.3"/>
    <row r="4" spans="2:8" ht="30" x14ac:dyDescent="0.25">
      <c r="B4" s="31"/>
      <c r="C4" s="30" t="s">
        <v>68</v>
      </c>
      <c r="D4" s="30" t="s">
        <v>66</v>
      </c>
      <c r="E4" s="30" t="s">
        <v>67</v>
      </c>
      <c r="F4" s="30" t="s">
        <v>74</v>
      </c>
      <c r="G4" s="182" t="s">
        <v>75</v>
      </c>
      <c r="H4" s="30" t="s">
        <v>76</v>
      </c>
    </row>
    <row r="5" spans="2:8" x14ac:dyDescent="0.25">
      <c r="B5" s="4" t="s">
        <v>69</v>
      </c>
      <c r="C5" s="23">
        <f>'Input Values Data'!E51</f>
        <v>5328804.9786721533</v>
      </c>
      <c r="D5" s="74">
        <f>IFERROR(C5/C$8,0)</f>
        <v>0.81922314769725457</v>
      </c>
      <c r="E5" s="146">
        <f>C5*1</f>
        <v>5328804.9786721533</v>
      </c>
      <c r="F5" s="146">
        <f>E5*1.4</f>
        <v>7460326.9701410141</v>
      </c>
      <c r="G5" s="178">
        <f>E5*2</f>
        <v>10657609.957344307</v>
      </c>
      <c r="H5" s="173">
        <f>E5*2</f>
        <v>10657609.957344307</v>
      </c>
    </row>
    <row r="6" spans="2:8" x14ac:dyDescent="0.25">
      <c r="B6" s="4" t="s">
        <v>70</v>
      </c>
      <c r="C6" s="23">
        <f>'Input Values Data'!E52</f>
        <v>546059.59366113984</v>
      </c>
      <c r="D6" s="74">
        <f>IFERROR(C6/C$8,0)</f>
        <v>8.3948401365747369E-2</v>
      </c>
      <c r="E6" s="146">
        <f>C6</f>
        <v>546059.59366113984</v>
      </c>
      <c r="F6" s="146">
        <f>E6</f>
        <v>546059.59366113984</v>
      </c>
      <c r="G6" s="178">
        <f>E6*1.4</f>
        <v>764483.4311255957</v>
      </c>
      <c r="H6" s="146">
        <f>F6*1.4</f>
        <v>764483.4311255957</v>
      </c>
    </row>
    <row r="7" spans="2:8" x14ac:dyDescent="0.25">
      <c r="B7" s="39" t="s">
        <v>71</v>
      </c>
      <c r="C7" s="48">
        <f>'Input Values Data'!E53</f>
        <v>629840.51766670682</v>
      </c>
      <c r="D7" s="75">
        <f>IFERROR(C7/C$8,0)</f>
        <v>9.6828450936998101E-2</v>
      </c>
      <c r="E7" s="166">
        <f>C7</f>
        <v>629840.51766670682</v>
      </c>
      <c r="F7" s="166">
        <f>E7</f>
        <v>629840.51766670682</v>
      </c>
      <c r="G7" s="179">
        <f>E7</f>
        <v>629840.51766670682</v>
      </c>
      <c r="H7" s="166">
        <f>F7</f>
        <v>629840.51766670682</v>
      </c>
    </row>
    <row r="8" spans="2:8" ht="15.75" thickBot="1" x14ac:dyDescent="0.3">
      <c r="B8" s="45" t="s">
        <v>77</v>
      </c>
      <c r="C8" s="47">
        <f t="shared" ref="C8:H8" si="0">SUM(C5:C7)</f>
        <v>6504705.0899999999</v>
      </c>
      <c r="D8" s="73">
        <f t="shared" si="0"/>
        <v>1</v>
      </c>
      <c r="E8" s="167">
        <f t="shared" si="0"/>
        <v>6504705.0899999999</v>
      </c>
      <c r="F8" s="167">
        <f t="shared" si="0"/>
        <v>8636227.0814688616</v>
      </c>
      <c r="G8" s="180">
        <f t="shared" si="0"/>
        <v>12051933.90613661</v>
      </c>
      <c r="H8" s="167">
        <f t="shared" si="0"/>
        <v>12051933.90613661</v>
      </c>
    </row>
    <row r="9" spans="2:8" ht="15.75" thickTop="1" x14ac:dyDescent="0.25">
      <c r="E9" s="146"/>
      <c r="F9" s="146"/>
      <c r="G9" s="178"/>
      <c r="H9" s="146"/>
    </row>
    <row r="10" spans="2:8" x14ac:dyDescent="0.25">
      <c r="E10" s="146"/>
      <c r="F10" s="146"/>
      <c r="G10" s="178"/>
      <c r="H10" s="146"/>
    </row>
    <row r="11" spans="2:8" x14ac:dyDescent="0.25">
      <c r="B11" s="31"/>
      <c r="C11" s="30"/>
      <c r="D11" s="30"/>
      <c r="E11" s="165" t="s">
        <v>200</v>
      </c>
      <c r="F11" s="30" t="s">
        <v>74</v>
      </c>
      <c r="G11" s="177" t="s">
        <v>75</v>
      </c>
      <c r="H11" s="30" t="s">
        <v>76</v>
      </c>
    </row>
    <row r="12" spans="2:8" ht="15.75" thickBot="1" x14ac:dyDescent="0.3">
      <c r="B12" s="4" t="s">
        <v>90</v>
      </c>
      <c r="E12" s="146">
        <f>C8</f>
        <v>6504705.0899999999</v>
      </c>
      <c r="F12" s="146">
        <f>SUM(F5:F6)</f>
        <v>8006386.5638021538</v>
      </c>
      <c r="G12" s="181">
        <f>SUM(G5:G6)</f>
        <v>11422093.388469903</v>
      </c>
      <c r="H12" s="146">
        <f>SUM(H5:H7)</f>
        <v>12051933.90613661</v>
      </c>
    </row>
    <row r="13" spans="2:8" x14ac:dyDescent="0.25"/>
    <row r="14" spans="2:8" x14ac:dyDescent="0.25">
      <c r="B14" s="198" t="s">
        <v>73</v>
      </c>
      <c r="C14" s="198"/>
      <c r="D14" s="198"/>
      <c r="E14" s="198"/>
      <c r="F14" s="198"/>
      <c r="G14" s="198"/>
      <c r="H14" s="4"/>
    </row>
    <row r="15" spans="2:8" x14ac:dyDescent="0.25">
      <c r="B15" s="198"/>
      <c r="C15" s="198"/>
      <c r="D15" s="198"/>
      <c r="E15" s="198"/>
      <c r="F15" s="198"/>
      <c r="G15" s="198"/>
      <c r="H15" s="4"/>
    </row>
    <row r="16" spans="2:8" ht="15" customHeight="1" x14ac:dyDescent="0.25">
      <c r="B16" s="198"/>
      <c r="C16" s="198"/>
      <c r="D16" s="198"/>
      <c r="E16" s="198"/>
      <c r="F16" s="198"/>
      <c r="G16" s="198"/>
      <c r="H16" s="4"/>
    </row>
    <row r="17" spans="2:8" x14ac:dyDescent="0.25">
      <c r="B17" s="198"/>
      <c r="C17" s="198"/>
      <c r="D17" s="198"/>
      <c r="E17" s="198"/>
      <c r="F17" s="198"/>
      <c r="G17" s="198"/>
      <c r="H17" s="4"/>
    </row>
    <row r="18" spans="2:8" x14ac:dyDescent="0.25">
      <c r="B18" s="33"/>
      <c r="C18" s="33"/>
      <c r="D18" s="33"/>
      <c r="E18" s="33"/>
      <c r="F18" s="33"/>
      <c r="G18" s="33"/>
      <c r="H18" s="33"/>
    </row>
    <row r="19" spans="2:8" ht="15" customHeight="1" x14ac:dyDescent="0.25">
      <c r="B19" s="198" t="s">
        <v>201</v>
      </c>
      <c r="C19" s="198"/>
      <c r="D19" s="198"/>
      <c r="E19" s="198"/>
      <c r="F19" s="198"/>
      <c r="G19" s="198"/>
      <c r="H19" s="4"/>
    </row>
    <row r="20" spans="2:8" x14ac:dyDescent="0.25">
      <c r="B20" s="198"/>
      <c r="C20" s="198"/>
      <c r="D20" s="198"/>
      <c r="E20" s="198"/>
      <c r="F20" s="198"/>
      <c r="G20" s="198"/>
      <c r="H20" s="4"/>
    </row>
    <row r="21" spans="2:8" x14ac:dyDescent="0.25">
      <c r="B21" s="198"/>
      <c r="C21" s="198"/>
      <c r="D21" s="198"/>
      <c r="E21" s="198"/>
      <c r="F21" s="198"/>
      <c r="G21" s="198"/>
      <c r="H21" s="4"/>
    </row>
    <row r="22" spans="2:8" x14ac:dyDescent="0.25">
      <c r="B22" s="198"/>
      <c r="C22" s="198"/>
      <c r="D22" s="198"/>
      <c r="E22" s="198"/>
      <c r="F22" s="198"/>
      <c r="G22" s="198"/>
      <c r="H22" s="4"/>
    </row>
    <row r="23" spans="2:8" x14ac:dyDescent="0.25"/>
    <row r="24" spans="2:8" x14ac:dyDescent="0.25">
      <c r="B24" s="4" t="s">
        <v>212</v>
      </c>
    </row>
    <row r="25" spans="2:8" x14ac:dyDescent="0.25"/>
    <row r="26" spans="2:8" x14ac:dyDescent="0.25"/>
    <row r="27" spans="2:8" hidden="1" x14ac:dyDescent="0.25"/>
    <row r="28" spans="2:8" hidden="1" x14ac:dyDescent="0.25"/>
    <row r="29" spans="2:8" hidden="1" x14ac:dyDescent="0.25"/>
    <row r="30" spans="2:8" hidden="1" x14ac:dyDescent="0.25"/>
    <row r="31" spans="2:8" hidden="1" x14ac:dyDescent="0.25"/>
    <row r="32" spans="2: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spans="7:8" hidden="1" x14ac:dyDescent="0.25"/>
    <row r="50" spans="7:8" hidden="1" x14ac:dyDescent="0.25"/>
    <row r="51" spans="7:8" hidden="1" x14ac:dyDescent="0.25"/>
    <row r="52" spans="7:8" hidden="1" x14ac:dyDescent="0.25"/>
    <row r="53" spans="7:8" hidden="1" x14ac:dyDescent="0.25"/>
    <row r="54" spans="7:8" hidden="1" x14ac:dyDescent="0.25">
      <c r="G54" s="32"/>
      <c r="H54" s="32"/>
    </row>
    <row r="55" spans="7:8" hidden="1" x14ac:dyDescent="0.25">
      <c r="G55" s="32"/>
      <c r="H55" s="32"/>
    </row>
    <row r="56" spans="7:8" hidden="1" x14ac:dyDescent="0.25">
      <c r="G56" s="32"/>
      <c r="H56" s="32"/>
    </row>
    <row r="57" spans="7:8" hidden="1" x14ac:dyDescent="0.25">
      <c r="G57" s="32"/>
      <c r="H57" s="32"/>
    </row>
  </sheetData>
  <mergeCells count="2">
    <mergeCell ref="B19:G22"/>
    <mergeCell ref="B14:G17"/>
  </mergeCells>
  <pageMargins left="0.7" right="0.7" top="0.75" bottom="0.75" header="0.3" footer="0.3"/>
  <pageSetup scale="72" fitToHeight="0" orientation="portrait" r:id="rId1"/>
  <headerFooter>
    <oddHeader>&amp;F</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Summary Sheet</vt:lpstr>
      <vt:lpstr>$ per HR</vt:lpstr>
      <vt:lpstr>Return on Investment</vt:lpstr>
      <vt:lpstr>Input Values Data</vt:lpstr>
      <vt:lpstr>Circulation</vt:lpstr>
      <vt:lpstr>Programs</vt:lpstr>
      <vt:lpstr>Reference Database</vt:lpstr>
      <vt:lpstr>Digital Technology</vt:lpstr>
      <vt:lpstr>Operations</vt:lpstr>
      <vt:lpstr>Employment</vt:lpstr>
      <vt:lpstr>Capital</vt:lpstr>
      <vt:lpstr>Materials</vt:lpstr>
      <vt:lpstr>'$ per HR'!Print_Area</vt:lpstr>
      <vt:lpstr>Capital!Print_Area</vt:lpstr>
      <vt:lpstr>Circulation!Print_Area</vt:lpstr>
      <vt:lpstr>'Digital Technology'!Print_Area</vt:lpstr>
      <vt:lpstr>Employment!Print_Area</vt:lpstr>
      <vt:lpstr>'Input Values Data'!Print_Area</vt:lpstr>
      <vt:lpstr>Materials!Print_Area</vt:lpstr>
      <vt:lpstr>Operations!Print_Area</vt:lpstr>
      <vt:lpstr>Programs!Print_Area</vt:lpstr>
      <vt:lpstr>'Reference Database'!Print_Area</vt:lpstr>
      <vt:lpstr>'Return on Investment'!Print_Area</vt:lpstr>
      <vt:lpstr>'Summary Sheet'!Print_Area</vt:lpstr>
      <vt:lpstr>'Input Values Data'!Print_Titles</vt:lpstr>
    </vt:vector>
  </TitlesOfParts>
  <Company>Hamilton Public Library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Krystin Parkinson</dc:creator>
  <cp:lastModifiedBy>Krystin Parkinson</cp:lastModifiedBy>
  <cp:lastPrinted>2018-01-12T20:50:33Z</cp:lastPrinted>
  <dcterms:created xsi:type="dcterms:W3CDTF">2017-06-16T14:59:45Z</dcterms:created>
  <dcterms:modified xsi:type="dcterms:W3CDTF">2018-01-12T20:51:51Z</dcterms:modified>
</cp:coreProperties>
</file>